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28680" yWindow="1500" windowWidth="16608" windowHeight="7812" tabRatio="808" activeTab="9"/>
  </bookViews>
  <sheets>
    <sheet name="თ.ფ-1" sheetId="54" r:id="rId1"/>
    <sheet name="თ.ფ-1 (2)" sheetId="55" r:id="rId2"/>
    <sheet name="გბ" sheetId="53" r:id="rId3"/>
    <sheet name="კრებს-4" sheetId="135" r:id="rId4"/>
    <sheet name="4-1-სამ -ლიუბლიანა" sheetId="112" r:id="rId5"/>
    <sheet name="4-2-წკ " sheetId="121" r:id="rId6"/>
    <sheet name="4-3-გარე ქსელები " sheetId="131" r:id="rId7"/>
    <sheet name="4-4 ელ " sheetId="117" r:id="rId8"/>
    <sheet name="4-5-ვკ " sheetId="128" r:id="rId9"/>
    <sheet name="4-6-ეზო -ლიუბლიანა " sheetId="140" r:id="rId10"/>
  </sheets>
  <definedNames>
    <definedName name="_xlnm._FilterDatabase" localSheetId="4" hidden="1">'4-1-სამ -ლიუბლიანა'!$A$7:$L$228</definedName>
    <definedName name="_xlnm._FilterDatabase" localSheetId="5" hidden="1">'4-2-წკ '!$A$8:$L$545</definedName>
    <definedName name="_xlnm._FilterDatabase" localSheetId="6" hidden="1">'4-3-გარე ქსელები '!$A$8:$L$62</definedName>
    <definedName name="_xlnm._FilterDatabase" localSheetId="7" hidden="1">'4-4 ელ '!$A$8:$L$88</definedName>
    <definedName name="_xlnm._FilterDatabase" localSheetId="8" hidden="1">'4-5-ვკ '!$A$8:$L$57</definedName>
    <definedName name="_xlnm._FilterDatabase" localSheetId="9" hidden="1">'4-6-ეზო -ლიუბლიანა '!$A$7:$L$348</definedName>
    <definedName name="_xlnm.Print_Area" localSheetId="4">'4-1-სამ -ლიუბლიანა'!$A$2:$L$199</definedName>
    <definedName name="_xlnm.Print_Area" localSheetId="5">'4-2-წკ '!$A$1:$L$76</definedName>
    <definedName name="_xlnm.Print_Area" localSheetId="6">'4-3-გარე ქსელები '!$A$1:$L$61</definedName>
    <definedName name="_xlnm.Print_Area" localSheetId="8">'4-5-ვკ '!$A$1:$L$57</definedName>
    <definedName name="_xlnm.Print_Area" localSheetId="9">'4-6-ეზო -ლიუბლიანა '!$A$2:$L$319</definedName>
    <definedName name="_xlnm.Print_Area" localSheetId="2">გბ!$A$1:$N$20</definedName>
    <definedName name="_xlnm.Print_Area" localSheetId="3">'კრებს-4'!$A$1:$H$27</definedName>
    <definedName name="_xlnm.Print_Titles" localSheetId="4">'4-1-სამ -ლიუბლიანა'!$4:$7</definedName>
    <definedName name="_xlnm.Print_Titles" localSheetId="5">'4-2-წკ '!$6:$8</definedName>
    <definedName name="_xlnm.Print_Titles" localSheetId="6">'4-3-გარე ქსელები '!$6:$8</definedName>
    <definedName name="_xlnm.Print_Titles" localSheetId="8">'4-5-ვკ '!$6:$8</definedName>
    <definedName name="_xlnm.Print_Titles" localSheetId="9">'4-6-ეზო -ლიუბლიანა '!$4:$7</definedName>
    <definedName name="Summary" localSheetId="4">#REF!</definedName>
    <definedName name="Summary" localSheetId="5">#REF!</definedName>
    <definedName name="Summary" localSheetId="6">#REF!</definedName>
    <definedName name="Summary" localSheetId="7">#REF!</definedName>
    <definedName name="Summary" localSheetId="8">#REF!</definedName>
    <definedName name="Summary" localSheetId="9">#REF!</definedName>
    <definedName name="Summary" localSheetId="1">#REF!</definedName>
    <definedName name="Summary" localSheetId="3">#REF!</definedName>
    <definedName name="Summar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7" i="140" l="1"/>
  <c r="L107" i="140" s="1"/>
  <c r="F107" i="140"/>
  <c r="F106" i="140"/>
  <c r="G106" i="140" s="1"/>
  <c r="L106" i="140" s="1"/>
  <c r="F105" i="140"/>
  <c r="G105" i="140" s="1"/>
  <c r="L105" i="140" s="1"/>
  <c r="G104" i="140"/>
  <c r="L104" i="140" s="1"/>
  <c r="F104" i="140"/>
  <c r="F103" i="140"/>
  <c r="G103" i="140" s="1"/>
  <c r="L103" i="140" s="1"/>
  <c r="F102" i="140"/>
  <c r="G102" i="140" s="1"/>
  <c r="L102" i="140" s="1"/>
  <c r="L101" i="140"/>
  <c r="K101" i="140"/>
  <c r="E101" i="140"/>
  <c r="I100" i="140"/>
  <c r="L100" i="140" s="1"/>
  <c r="E100" i="140"/>
  <c r="E110" i="112" l="1"/>
  <c r="E114" i="112"/>
  <c r="G114" i="112" s="1"/>
  <c r="L114" i="112" s="1"/>
  <c r="E113" i="112"/>
  <c r="G113" i="112" s="1"/>
  <c r="L113" i="112" s="1"/>
  <c r="E112" i="112"/>
  <c r="G112" i="112" s="1"/>
  <c r="L112" i="112" s="1"/>
  <c r="E109" i="112"/>
  <c r="K109" i="112" s="1"/>
  <c r="L109" i="112" s="1"/>
  <c r="E108" i="112"/>
  <c r="E131" i="112"/>
  <c r="G131" i="112" s="1"/>
  <c r="L131" i="112" s="1"/>
  <c r="E130" i="112"/>
  <c r="G130" i="112" s="1"/>
  <c r="L130" i="112" s="1"/>
  <c r="E129" i="112"/>
  <c r="G119" i="112"/>
  <c r="L119" i="112" s="1"/>
  <c r="E126" i="112"/>
  <c r="G126" i="112" s="1"/>
  <c r="L126" i="112" s="1"/>
  <c r="E111" i="112" l="1"/>
  <c r="G111" i="112" s="1"/>
  <c r="L111" i="112" s="1"/>
  <c r="G110" i="112"/>
  <c r="L110" i="112" s="1"/>
  <c r="I108" i="112"/>
  <c r="L108" i="112" s="1"/>
  <c r="I129" i="112"/>
  <c r="L129" i="112" s="1"/>
  <c r="E117" i="112"/>
  <c r="K117" i="112" s="1"/>
  <c r="L117" i="112" s="1"/>
  <c r="E120" i="112"/>
  <c r="E124" i="112"/>
  <c r="G124" i="112" s="1"/>
  <c r="L124" i="112" s="1"/>
  <c r="E125" i="112"/>
  <c r="G125" i="112" s="1"/>
  <c r="L125" i="112" s="1"/>
  <c r="E116" i="112"/>
  <c r="I116" i="112" s="1"/>
  <c r="L116" i="112" s="1"/>
  <c r="E123" i="112"/>
  <c r="G123" i="112" s="1"/>
  <c r="L123" i="112" s="1"/>
  <c r="E122" i="112"/>
  <c r="G122" i="112" s="1"/>
  <c r="L122" i="112" s="1"/>
  <c r="E127" i="112"/>
  <c r="G127" i="112" s="1"/>
  <c r="L127" i="112" s="1"/>
  <c r="E118" i="112"/>
  <c r="G118" i="112" s="1"/>
  <c r="L118" i="112" s="1"/>
  <c r="E121" i="112"/>
  <c r="G121" i="112" s="1"/>
  <c r="L121" i="112" s="1"/>
  <c r="E63" i="117"/>
  <c r="I63" i="117" s="1"/>
  <c r="L63" i="117" s="1"/>
  <c r="E65" i="117"/>
  <c r="G65" i="117"/>
  <c r="L65" i="117" s="1"/>
  <c r="E132" i="112" l="1"/>
  <c r="G132" i="112" s="1"/>
  <c r="L132" i="112" s="1"/>
  <c r="G120" i="112"/>
  <c r="L120" i="112" s="1"/>
  <c r="F223" i="140"/>
  <c r="F283" i="140"/>
  <c r="F250" i="140"/>
  <c r="F200" i="140"/>
  <c r="F23" i="131"/>
  <c r="E151" i="112" l="1"/>
  <c r="E150" i="112" s="1"/>
  <c r="E191" i="140"/>
  <c r="G151" i="112" l="1"/>
  <c r="L151" i="112" s="1"/>
  <c r="G150" i="112"/>
  <c r="L150" i="112" s="1"/>
  <c r="E68" i="121" l="1"/>
  <c r="G68" i="121" s="1"/>
  <c r="L68" i="121" s="1"/>
  <c r="G67" i="121"/>
  <c r="L67" i="121" s="1"/>
  <c r="E66" i="121"/>
  <c r="G66" i="121" s="1"/>
  <c r="L66" i="121" s="1"/>
  <c r="E65" i="121"/>
  <c r="K65" i="121" s="1"/>
  <c r="L65" i="121" s="1"/>
  <c r="E64" i="121"/>
  <c r="I64" i="121" s="1"/>
  <c r="L64" i="121" s="1"/>
  <c r="E59" i="121"/>
  <c r="E37" i="121"/>
  <c r="G37" i="121" s="1"/>
  <c r="L37" i="121" s="1"/>
  <c r="E33" i="121"/>
  <c r="G33" i="121" s="1"/>
  <c r="L33" i="121" s="1"/>
  <c r="G32" i="121"/>
  <c r="L32" i="121" s="1"/>
  <c r="G31" i="121"/>
  <c r="L31" i="121" s="1"/>
  <c r="E30" i="121"/>
  <c r="K30" i="121" s="1"/>
  <c r="L30" i="121" s="1"/>
  <c r="E29" i="121"/>
  <c r="I29" i="121" s="1"/>
  <c r="L29" i="121" s="1"/>
  <c r="G59" i="121" l="1"/>
  <c r="L59" i="121" s="1"/>
  <c r="E106" i="112"/>
  <c r="G106" i="112" s="1"/>
  <c r="L106" i="112" s="1"/>
  <c r="E105" i="112"/>
  <c r="G105" i="112" s="1"/>
  <c r="L105" i="112" s="1"/>
  <c r="E104" i="112"/>
  <c r="G104" i="112" s="1"/>
  <c r="L104" i="112" s="1"/>
  <c r="E103" i="112"/>
  <c r="K103" i="112" s="1"/>
  <c r="L103" i="112" s="1"/>
  <c r="E102" i="112"/>
  <c r="I102" i="112" s="1"/>
  <c r="L102" i="112" s="1"/>
  <c r="E154" i="112" l="1"/>
  <c r="G154" i="112" s="1"/>
  <c r="L154" i="112" s="1"/>
  <c r="E153" i="112"/>
  <c r="G153" i="112" s="1"/>
  <c r="L153" i="112" s="1"/>
  <c r="E152" i="112"/>
  <c r="G152" i="112" s="1"/>
  <c r="L152" i="112" s="1"/>
  <c r="E149" i="112"/>
  <c r="K149" i="112" s="1"/>
  <c r="L149" i="112" s="1"/>
  <c r="E148" i="112"/>
  <c r="I148" i="112" s="1"/>
  <c r="L148" i="112" s="1"/>
  <c r="E146" i="112"/>
  <c r="G146" i="112" s="1"/>
  <c r="L146" i="112" s="1"/>
  <c r="D145" i="112"/>
  <c r="E145" i="112" s="1"/>
  <c r="G145" i="112" s="1"/>
  <c r="L145" i="112" s="1"/>
  <c r="D144" i="112"/>
  <c r="E144" i="112" s="1"/>
  <c r="K144" i="112" s="1"/>
  <c r="L144" i="112" s="1"/>
  <c r="E143" i="112"/>
  <c r="I143" i="112" s="1"/>
  <c r="L143" i="112" s="1"/>
  <c r="E141" i="112"/>
  <c r="G141" i="112" s="1"/>
  <c r="L141" i="112" s="1"/>
  <c r="E140" i="112"/>
  <c r="G140" i="112" s="1"/>
  <c r="L140" i="112" s="1"/>
  <c r="E139" i="112"/>
  <c r="I139" i="112" s="1"/>
  <c r="L139" i="112" s="1"/>
  <c r="D190" i="140"/>
  <c r="D189" i="140"/>
  <c r="D182" i="140"/>
  <c r="E182" i="140" s="1"/>
  <c r="G182" i="140" s="1"/>
  <c r="L182" i="140" s="1"/>
  <c r="D181" i="140"/>
  <c r="E181" i="140" s="1"/>
  <c r="G181" i="140" s="1"/>
  <c r="L181" i="140" s="1"/>
  <c r="E180" i="140"/>
  <c r="K180" i="140" s="1"/>
  <c r="L180" i="140" s="1"/>
  <c r="E179" i="140"/>
  <c r="K179" i="140" s="1"/>
  <c r="L179" i="140" s="1"/>
  <c r="E178" i="140"/>
  <c r="K178" i="140" s="1"/>
  <c r="L178" i="140" s="1"/>
  <c r="E177" i="140"/>
  <c r="K177" i="140" s="1"/>
  <c r="L177" i="140" s="1"/>
  <c r="E176" i="140"/>
  <c r="I176" i="140" s="1"/>
  <c r="L176" i="140" s="1"/>
  <c r="E50" i="112" l="1"/>
  <c r="K50" i="112" s="1"/>
  <c r="L50" i="112" s="1"/>
  <c r="E49" i="112"/>
  <c r="K49" i="112" s="1"/>
  <c r="L49" i="112" s="1"/>
  <c r="E48" i="112"/>
  <c r="I48" i="112" s="1"/>
  <c r="L48" i="112" s="1"/>
  <c r="E46" i="112"/>
  <c r="K46" i="112" s="1"/>
  <c r="L46" i="112" s="1"/>
  <c r="E45" i="112"/>
  <c r="I45" i="112" s="1"/>
  <c r="L45" i="112" s="1"/>
  <c r="E91" i="140"/>
  <c r="E165" i="112"/>
  <c r="G165" i="112" s="1"/>
  <c r="L165" i="112" s="1"/>
  <c r="E164" i="112"/>
  <c r="G164" i="112" s="1"/>
  <c r="L164" i="112" s="1"/>
  <c r="E163" i="112"/>
  <c r="G163" i="112" s="1"/>
  <c r="L163" i="112" s="1"/>
  <c r="E162" i="112"/>
  <c r="G162" i="112" s="1"/>
  <c r="L162" i="112" s="1"/>
  <c r="E161" i="112"/>
  <c r="K161" i="112" s="1"/>
  <c r="L161" i="112" s="1"/>
  <c r="E160" i="112"/>
  <c r="I160" i="112" s="1"/>
  <c r="L160" i="112" s="1"/>
  <c r="E34" i="140" l="1"/>
  <c r="D12" i="140"/>
  <c r="E12" i="140" s="1"/>
  <c r="K12" i="140" s="1"/>
  <c r="L12" i="140" s="1"/>
  <c r="D11" i="140"/>
  <c r="E11" i="140" s="1"/>
  <c r="I11" i="140" s="1"/>
  <c r="L11" i="140" s="1"/>
  <c r="E43" i="112" l="1"/>
  <c r="K43" i="112" s="1"/>
  <c r="L43" i="112" s="1"/>
  <c r="E42" i="112"/>
  <c r="K42" i="112" s="1"/>
  <c r="L42" i="112" s="1"/>
  <c r="E41" i="112"/>
  <c r="I41" i="112" s="1"/>
  <c r="L41" i="112" s="1"/>
  <c r="E39" i="112"/>
  <c r="K39" i="112" s="1"/>
  <c r="L39" i="112" s="1"/>
  <c r="E38" i="112"/>
  <c r="I38" i="112" s="1"/>
  <c r="L38" i="112" s="1"/>
  <c r="E22" i="128" l="1"/>
  <c r="G21" i="128" l="1"/>
  <c r="L21" i="128" s="1"/>
  <c r="J57" i="140" l="1"/>
  <c r="J260" i="140"/>
  <c r="J12" i="131" l="1"/>
  <c r="K12" i="131" s="1"/>
  <c r="L12" i="131" s="1"/>
  <c r="E10" i="131"/>
  <c r="D34" i="131" l="1"/>
  <c r="E34" i="131" s="1"/>
  <c r="G34" i="131" s="1"/>
  <c r="L34" i="131" s="1"/>
  <c r="E32" i="131" l="1"/>
  <c r="I32" i="131" s="1"/>
  <c r="L32" i="131" s="1"/>
  <c r="G29" i="131"/>
  <c r="L29" i="131" s="1"/>
  <c r="G28" i="131"/>
  <c r="L28" i="131" s="1"/>
  <c r="G54" i="121" l="1"/>
  <c r="L54" i="121" s="1"/>
  <c r="E45" i="121"/>
  <c r="G45" i="121" s="1"/>
  <c r="L45" i="121" s="1"/>
  <c r="G44" i="121"/>
  <c r="L44" i="121" s="1"/>
  <c r="G43" i="121"/>
  <c r="L43" i="121" s="1"/>
  <c r="E42" i="121"/>
  <c r="K42" i="121" s="1"/>
  <c r="L42" i="121" s="1"/>
  <c r="E41" i="121"/>
  <c r="I41" i="121" s="1"/>
  <c r="L41" i="121" s="1"/>
  <c r="E62" i="121"/>
  <c r="G62" i="121" s="1"/>
  <c r="L62" i="121" s="1"/>
  <c r="G61" i="121"/>
  <c r="L61" i="121" s="1"/>
  <c r="G60" i="121"/>
  <c r="L60" i="121" s="1"/>
  <c r="E58" i="121"/>
  <c r="K58" i="121" s="1"/>
  <c r="L58" i="121" s="1"/>
  <c r="E57" i="121"/>
  <c r="I57" i="121" s="1"/>
  <c r="L57" i="121" s="1"/>
  <c r="D66" i="140" l="1"/>
  <c r="D56" i="112"/>
  <c r="F129" i="140" l="1"/>
  <c r="I11" i="128" l="1"/>
  <c r="L11" i="128" s="1"/>
  <c r="E11" i="128"/>
  <c r="F13" i="128"/>
  <c r="D158" i="112"/>
  <c r="E52" i="112" l="1"/>
  <c r="I52" i="112" s="1"/>
  <c r="L52" i="112" s="1"/>
  <c r="E62" i="140"/>
  <c r="I62" i="140" s="1"/>
  <c r="L62" i="140" s="1"/>
  <c r="E68" i="140"/>
  <c r="K68" i="140" s="1"/>
  <c r="L68" i="140" s="1"/>
  <c r="E66" i="140"/>
  <c r="K66" i="140" s="1"/>
  <c r="L66" i="140" s="1"/>
  <c r="K64" i="140"/>
  <c r="L64" i="140" s="1"/>
  <c r="K58" i="140"/>
  <c r="L58" i="140" s="1"/>
  <c r="K26" i="140"/>
  <c r="L26" i="140" s="1"/>
  <c r="K22" i="140"/>
  <c r="L22" i="140" s="1"/>
  <c r="E58" i="112"/>
  <c r="K58" i="112" s="1"/>
  <c r="L58" i="112" s="1"/>
  <c r="E56" i="112"/>
  <c r="K56" i="112" s="1"/>
  <c r="L56" i="112" s="1"/>
  <c r="K54" i="112"/>
  <c r="L54" i="112" s="1"/>
  <c r="E276" i="140"/>
  <c r="E23" i="112"/>
  <c r="I23" i="112" s="1"/>
  <c r="L23" i="112" s="1"/>
  <c r="E225" i="140"/>
  <c r="G225" i="140" s="1"/>
  <c r="L225" i="140" s="1"/>
  <c r="E224" i="140"/>
  <c r="G224" i="140" s="1"/>
  <c r="L224" i="140" s="1"/>
  <c r="E223" i="140"/>
  <c r="G223" i="140" s="1"/>
  <c r="L223" i="140" s="1"/>
  <c r="E222" i="140"/>
  <c r="G222" i="140" s="1"/>
  <c r="L222" i="140" s="1"/>
  <c r="E221" i="140"/>
  <c r="K221" i="140" s="1"/>
  <c r="L221" i="140" s="1"/>
  <c r="E220" i="140"/>
  <c r="I220" i="140" s="1"/>
  <c r="L220" i="140" s="1"/>
  <c r="E235" i="140"/>
  <c r="E226" i="140"/>
  <c r="E227" i="140" s="1"/>
  <c r="I227" i="140" s="1"/>
  <c r="L227" i="140" s="1"/>
  <c r="E285" i="140"/>
  <c r="G285" i="140" s="1"/>
  <c r="L285" i="140" s="1"/>
  <c r="E284" i="140"/>
  <c r="G284" i="140" s="1"/>
  <c r="L284" i="140" s="1"/>
  <c r="E280" i="140"/>
  <c r="E286" i="140" s="1"/>
  <c r="G286" i="140" s="1"/>
  <c r="L286" i="140" s="1"/>
  <c r="E133" i="140"/>
  <c r="E136" i="140"/>
  <c r="E189" i="112"/>
  <c r="G189" i="112" s="1"/>
  <c r="L189" i="112" s="1"/>
  <c r="E188" i="112"/>
  <c r="G188" i="112" s="1"/>
  <c r="L188" i="112" s="1"/>
  <c r="E187" i="112"/>
  <c r="G187" i="112" s="1"/>
  <c r="L187" i="112" s="1"/>
  <c r="E186" i="112"/>
  <c r="G186" i="112" s="1"/>
  <c r="L186" i="112" s="1"/>
  <c r="E185" i="112"/>
  <c r="K185" i="112" s="1"/>
  <c r="L185" i="112" s="1"/>
  <c r="E184" i="112"/>
  <c r="I184" i="112" s="1"/>
  <c r="L184" i="112" s="1"/>
  <c r="E182" i="112"/>
  <c r="G182" i="112" s="1"/>
  <c r="L182" i="112" s="1"/>
  <c r="D181" i="112"/>
  <c r="E181" i="112" s="1"/>
  <c r="G181" i="112" s="1"/>
  <c r="L181" i="112" s="1"/>
  <c r="D180" i="112"/>
  <c r="E180" i="112" s="1"/>
  <c r="K180" i="112" s="1"/>
  <c r="L180" i="112" s="1"/>
  <c r="E179" i="112"/>
  <c r="I179" i="112" s="1"/>
  <c r="L179" i="112" s="1"/>
  <c r="E177" i="112"/>
  <c r="G177" i="112" s="1"/>
  <c r="L177" i="112" s="1"/>
  <c r="E176" i="112"/>
  <c r="G176" i="112" s="1"/>
  <c r="L176" i="112" s="1"/>
  <c r="D175" i="112"/>
  <c r="E175" i="112" s="1"/>
  <c r="G175" i="112" s="1"/>
  <c r="L175" i="112" s="1"/>
  <c r="D174" i="112"/>
  <c r="E174" i="112" s="1"/>
  <c r="K174" i="112" s="1"/>
  <c r="L174" i="112" s="1"/>
  <c r="E173" i="112"/>
  <c r="I173" i="112" s="1"/>
  <c r="L173" i="112" s="1"/>
  <c r="E171" i="140"/>
  <c r="G171" i="140" s="1"/>
  <c r="L171" i="140" s="1"/>
  <c r="E170" i="140"/>
  <c r="G170" i="140" s="1"/>
  <c r="L170" i="140" s="1"/>
  <c r="E169" i="140"/>
  <c r="K169" i="140" s="1"/>
  <c r="L169" i="140" s="1"/>
  <c r="E168" i="140"/>
  <c r="K168" i="140" s="1"/>
  <c r="L168" i="140" s="1"/>
  <c r="E167" i="140"/>
  <c r="K167" i="140" s="1"/>
  <c r="L167" i="140" s="1"/>
  <c r="E166" i="140"/>
  <c r="K166" i="140" s="1"/>
  <c r="L166" i="140" s="1"/>
  <c r="E165" i="140"/>
  <c r="K165" i="140" s="1"/>
  <c r="L165" i="140" s="1"/>
  <c r="E164" i="140"/>
  <c r="I164" i="140" s="1"/>
  <c r="L164" i="140" s="1"/>
  <c r="E162" i="140"/>
  <c r="G162" i="140" s="1"/>
  <c r="L162" i="140" s="1"/>
  <c r="E161" i="140"/>
  <c r="G161" i="140" s="1"/>
  <c r="L161" i="140" s="1"/>
  <c r="E160" i="140"/>
  <c r="K160" i="140" s="1"/>
  <c r="L160" i="140" s="1"/>
  <c r="E159" i="140"/>
  <c r="K159" i="140" s="1"/>
  <c r="L159" i="140" s="1"/>
  <c r="E158" i="140"/>
  <c r="K158" i="140" s="1"/>
  <c r="L158" i="140" s="1"/>
  <c r="E157" i="140"/>
  <c r="K157" i="140" s="1"/>
  <c r="L157" i="140" s="1"/>
  <c r="E156" i="140"/>
  <c r="K156" i="140" s="1"/>
  <c r="L156" i="140" s="1"/>
  <c r="E155" i="140"/>
  <c r="I155" i="140" s="1"/>
  <c r="L155" i="140" s="1"/>
  <c r="E66" i="112"/>
  <c r="E49" i="140"/>
  <c r="E43" i="140"/>
  <c r="E44" i="140" s="1"/>
  <c r="E46" i="140" s="1"/>
  <c r="K46" i="140" s="1"/>
  <c r="L46" i="140" s="1"/>
  <c r="E232" i="140" l="1"/>
  <c r="G232" i="140" s="1"/>
  <c r="L232" i="140" s="1"/>
  <c r="E228" i="140"/>
  <c r="K228" i="140" s="1"/>
  <c r="L228" i="140" s="1"/>
  <c r="E283" i="140"/>
  <c r="G283" i="140" s="1"/>
  <c r="L283" i="140" s="1"/>
  <c r="E229" i="140"/>
  <c r="G229" i="140" s="1"/>
  <c r="L229" i="140" s="1"/>
  <c r="E230" i="140"/>
  <c r="G230" i="140" s="1"/>
  <c r="L230" i="140" s="1"/>
  <c r="E231" i="140"/>
  <c r="G231" i="140" s="1"/>
  <c r="L231" i="140" s="1"/>
  <c r="E288" i="140"/>
  <c r="G288" i="140" s="1"/>
  <c r="L288" i="140" s="1"/>
  <c r="E281" i="140"/>
  <c r="I281" i="140" s="1"/>
  <c r="L281" i="140" s="1"/>
  <c r="E287" i="140"/>
  <c r="G287" i="140" s="1"/>
  <c r="L287" i="140" s="1"/>
  <c r="E282" i="140"/>
  <c r="K282" i="140" s="1"/>
  <c r="L282" i="140" s="1"/>
  <c r="E45" i="140"/>
  <c r="K45" i="140" s="1"/>
  <c r="L45" i="140" s="1"/>
  <c r="I44" i="140"/>
  <c r="L44" i="140" s="1"/>
  <c r="E68" i="112" l="1"/>
  <c r="G68" i="112" s="1"/>
  <c r="L68" i="112" s="1"/>
  <c r="E67" i="112"/>
  <c r="G67" i="112" s="1"/>
  <c r="L67" i="112" s="1"/>
  <c r="G66" i="112"/>
  <c r="L66" i="112" s="1"/>
  <c r="E65" i="112"/>
  <c r="G65" i="112" s="1"/>
  <c r="L65" i="112" s="1"/>
  <c r="E64" i="112"/>
  <c r="K64" i="112" s="1"/>
  <c r="L64" i="112" s="1"/>
  <c r="E63" i="112"/>
  <c r="I63" i="112" s="1"/>
  <c r="L63" i="112" s="1"/>
  <c r="G95" i="140"/>
  <c r="L95" i="140" s="1"/>
  <c r="G269" i="140"/>
  <c r="L269" i="140" s="1"/>
  <c r="E267" i="140"/>
  <c r="E268" i="140" s="1"/>
  <c r="I268" i="140" s="1"/>
  <c r="L268" i="140" s="1"/>
  <c r="E270" i="140"/>
  <c r="E272" i="140" s="1"/>
  <c r="K272" i="140" s="1"/>
  <c r="L272" i="140" s="1"/>
  <c r="D273" i="140"/>
  <c r="E146" i="140"/>
  <c r="E148" i="140" s="1"/>
  <c r="K148" i="140" s="1"/>
  <c r="L148" i="140" s="1"/>
  <c r="G143" i="140"/>
  <c r="L143" i="140" s="1"/>
  <c r="E142" i="140"/>
  <c r="G142" i="140" s="1"/>
  <c r="L142" i="140" s="1"/>
  <c r="E139" i="140"/>
  <c r="E144" i="140" s="1"/>
  <c r="G144" i="140" s="1"/>
  <c r="L144" i="140" s="1"/>
  <c r="E135" i="140"/>
  <c r="K135" i="140" s="1"/>
  <c r="L135" i="140" s="1"/>
  <c r="G136" i="140"/>
  <c r="L136" i="140" s="1"/>
  <c r="D149" i="140"/>
  <c r="E150" i="140" l="1"/>
  <c r="G150" i="140" s="1"/>
  <c r="L150" i="140" s="1"/>
  <c r="E147" i="140"/>
  <c r="I147" i="140" s="1"/>
  <c r="L147" i="140" s="1"/>
  <c r="E151" i="140"/>
  <c r="G151" i="140" s="1"/>
  <c r="L151" i="140" s="1"/>
  <c r="E145" i="140"/>
  <c r="G145" i="140" s="1"/>
  <c r="L145" i="140" s="1"/>
  <c r="E273" i="140"/>
  <c r="G273" i="140" s="1"/>
  <c r="L273" i="140" s="1"/>
  <c r="E140" i="140"/>
  <c r="I140" i="140" s="1"/>
  <c r="L140" i="140" s="1"/>
  <c r="E274" i="140"/>
  <c r="G274" i="140" s="1"/>
  <c r="L274" i="140" s="1"/>
  <c r="E271" i="140"/>
  <c r="I271" i="140" s="1"/>
  <c r="L271" i="140" s="1"/>
  <c r="E275" i="140"/>
  <c r="G275" i="140" s="1"/>
  <c r="L275" i="140" s="1"/>
  <c r="E141" i="140"/>
  <c r="K141" i="140" s="1"/>
  <c r="L141" i="140" s="1"/>
  <c r="I134" i="140"/>
  <c r="L134" i="140" s="1"/>
  <c r="E149" i="140"/>
  <c r="G149" i="140" s="1"/>
  <c r="L149" i="140" s="1"/>
  <c r="E137" i="140"/>
  <c r="G137" i="140" s="1"/>
  <c r="L137" i="140" s="1"/>
  <c r="E138" i="140"/>
  <c r="G138" i="140" s="1"/>
  <c r="L138" i="140" s="1"/>
  <c r="E310" i="140" l="1"/>
  <c r="G310" i="140" s="1"/>
  <c r="L310" i="140" s="1"/>
  <c r="E309" i="140"/>
  <c r="G309" i="140" s="1"/>
  <c r="L309" i="140" s="1"/>
  <c r="E308" i="140"/>
  <c r="K308" i="140" s="1"/>
  <c r="L308" i="140" s="1"/>
  <c r="E307" i="140"/>
  <c r="I307" i="140" s="1"/>
  <c r="L307" i="140" s="1"/>
  <c r="E305" i="140"/>
  <c r="G305" i="140" s="1"/>
  <c r="L305" i="140" s="1"/>
  <c r="E304" i="140"/>
  <c r="G304" i="140" s="1"/>
  <c r="L304" i="140" s="1"/>
  <c r="D303" i="140"/>
  <c r="E303" i="140" s="1"/>
  <c r="G303" i="140" s="1"/>
  <c r="L303" i="140" s="1"/>
  <c r="E302" i="140"/>
  <c r="K302" i="140" s="1"/>
  <c r="L302" i="140" s="1"/>
  <c r="E301" i="140"/>
  <c r="I301" i="140" s="1"/>
  <c r="L301" i="140" s="1"/>
  <c r="E299" i="140"/>
  <c r="G299" i="140" s="1"/>
  <c r="L299" i="140" s="1"/>
  <c r="E298" i="140"/>
  <c r="G298" i="140" s="1"/>
  <c r="L298" i="140" s="1"/>
  <c r="E297" i="140"/>
  <c r="G297" i="140" s="1"/>
  <c r="L297" i="140" s="1"/>
  <c r="G296" i="140"/>
  <c r="L296" i="140" s="1"/>
  <c r="G295" i="140"/>
  <c r="L295" i="140" s="1"/>
  <c r="G294" i="140"/>
  <c r="L294" i="140" s="1"/>
  <c r="G293" i="140"/>
  <c r="L293" i="140" s="1"/>
  <c r="E292" i="140"/>
  <c r="E291" i="140"/>
  <c r="K291" i="140" s="1"/>
  <c r="L291" i="140" s="1"/>
  <c r="E290" i="140"/>
  <c r="I290" i="140" s="1"/>
  <c r="L290" i="140" s="1"/>
  <c r="E279" i="140"/>
  <c r="G279" i="140" s="1"/>
  <c r="L279" i="140" s="1"/>
  <c r="E278" i="140"/>
  <c r="K278" i="140" s="1"/>
  <c r="L278" i="140" s="1"/>
  <c r="E277" i="140"/>
  <c r="I277" i="140" s="1"/>
  <c r="L277" i="140" s="1"/>
  <c r="G263" i="140"/>
  <c r="L263" i="140" s="1"/>
  <c r="E258" i="140"/>
  <c r="E257" i="140"/>
  <c r="G257" i="140" s="1"/>
  <c r="L257" i="140" s="1"/>
  <c r="E256" i="140"/>
  <c r="G256" i="140" s="1"/>
  <c r="L256" i="140" s="1"/>
  <c r="E255" i="140"/>
  <c r="G255" i="140" s="1"/>
  <c r="L255" i="140" s="1"/>
  <c r="E254" i="140"/>
  <c r="G254" i="140" s="1"/>
  <c r="L254" i="140" s="1"/>
  <c r="E253" i="140"/>
  <c r="G253" i="140" s="1"/>
  <c r="L253" i="140" s="1"/>
  <c r="E252" i="140"/>
  <c r="G252" i="140" s="1"/>
  <c r="L252" i="140" s="1"/>
  <c r="E251" i="140"/>
  <c r="G251" i="140" s="1"/>
  <c r="L251" i="140" s="1"/>
  <c r="E250" i="140"/>
  <c r="G250" i="140" s="1"/>
  <c r="L250" i="140" s="1"/>
  <c r="E249" i="140"/>
  <c r="K249" i="140" s="1"/>
  <c r="L249" i="140" s="1"/>
  <c r="E248" i="140"/>
  <c r="I248" i="140" s="1"/>
  <c r="L248" i="140" s="1"/>
  <c r="E246" i="140"/>
  <c r="G246" i="140" s="1"/>
  <c r="L246" i="140" s="1"/>
  <c r="F245" i="140"/>
  <c r="E245" i="140"/>
  <c r="E244" i="140"/>
  <c r="K244" i="140" s="1"/>
  <c r="L244" i="140" s="1"/>
  <c r="E243" i="140"/>
  <c r="I243" i="140" s="1"/>
  <c r="L243" i="140" s="1"/>
  <c r="E237" i="140"/>
  <c r="E239" i="140" s="1"/>
  <c r="K239" i="140" s="1"/>
  <c r="L239" i="140" s="1"/>
  <c r="E236" i="140"/>
  <c r="I236" i="140" s="1"/>
  <c r="L236" i="140" s="1"/>
  <c r="D54" i="140"/>
  <c r="E54" i="140" s="1"/>
  <c r="K54" i="140" s="1"/>
  <c r="L54" i="140" s="1"/>
  <c r="D53" i="140"/>
  <c r="E53" i="140" s="1"/>
  <c r="K53" i="140" s="1"/>
  <c r="L53" i="140" s="1"/>
  <c r="D52" i="140"/>
  <c r="E52" i="140" s="1"/>
  <c r="I52" i="140" s="1"/>
  <c r="L52" i="140" s="1"/>
  <c r="E218" i="140"/>
  <c r="G218" i="140" s="1"/>
  <c r="L218" i="140" s="1"/>
  <c r="E217" i="140"/>
  <c r="G217" i="140" s="1"/>
  <c r="L217" i="140" s="1"/>
  <c r="D216" i="140"/>
  <c r="E216" i="140" s="1"/>
  <c r="K216" i="140" s="1"/>
  <c r="L216" i="140" s="1"/>
  <c r="D215" i="140"/>
  <c r="E215" i="140" s="1"/>
  <c r="I215" i="140" s="1"/>
  <c r="L215" i="140" s="1"/>
  <c r="E212" i="140"/>
  <c r="G212" i="140" s="1"/>
  <c r="L212" i="140" s="1"/>
  <c r="E211" i="140"/>
  <c r="G211" i="140" s="1"/>
  <c r="L211" i="140" s="1"/>
  <c r="E210" i="140"/>
  <c r="K210" i="140" s="1"/>
  <c r="L210" i="140" s="1"/>
  <c r="E209" i="140"/>
  <c r="I209" i="140" s="1"/>
  <c r="L209" i="140" s="1"/>
  <c r="E207" i="140"/>
  <c r="G207" i="140" s="1"/>
  <c r="L207" i="140" s="1"/>
  <c r="E206" i="140"/>
  <c r="G206" i="140" s="1"/>
  <c r="L206" i="140" s="1"/>
  <c r="E205" i="140"/>
  <c r="G205" i="140" s="1"/>
  <c r="L205" i="140" s="1"/>
  <c r="E204" i="140"/>
  <c r="G204" i="140" s="1"/>
  <c r="L204" i="140" s="1"/>
  <c r="E203" i="140"/>
  <c r="G203" i="140" s="1"/>
  <c r="L203" i="140" s="1"/>
  <c r="E202" i="140"/>
  <c r="G202" i="140" s="1"/>
  <c r="L202" i="140" s="1"/>
  <c r="E201" i="140"/>
  <c r="G201" i="140" s="1"/>
  <c r="L201" i="140" s="1"/>
  <c r="G200" i="140"/>
  <c r="L200" i="140" s="1"/>
  <c r="E199" i="140"/>
  <c r="K199" i="140" s="1"/>
  <c r="L199" i="140" s="1"/>
  <c r="E198" i="140"/>
  <c r="K198" i="140" s="1"/>
  <c r="L198" i="140" s="1"/>
  <c r="E197" i="140"/>
  <c r="I197" i="140" s="1"/>
  <c r="L197" i="140" s="1"/>
  <c r="E194" i="140"/>
  <c r="G194" i="140" s="1"/>
  <c r="L194" i="140" s="1"/>
  <c r="E183" i="140"/>
  <c r="E174" i="140"/>
  <c r="G174" i="140" s="1"/>
  <c r="L174" i="140" s="1"/>
  <c r="E173" i="140"/>
  <c r="K173" i="140" s="1"/>
  <c r="L173" i="140" s="1"/>
  <c r="E132" i="140"/>
  <c r="G132" i="140" s="1"/>
  <c r="L132" i="140" s="1"/>
  <c r="E131" i="140"/>
  <c r="G131" i="140" s="1"/>
  <c r="L131" i="140" s="1"/>
  <c r="E130" i="140"/>
  <c r="G130" i="140" s="1"/>
  <c r="L130" i="140" s="1"/>
  <c r="E129" i="140"/>
  <c r="G129" i="140" s="1"/>
  <c r="L129" i="140" s="1"/>
  <c r="E128" i="140"/>
  <c r="K128" i="140" s="1"/>
  <c r="L128" i="140" s="1"/>
  <c r="E127" i="140"/>
  <c r="I127" i="140" s="1"/>
  <c r="L127" i="140" s="1"/>
  <c r="E125" i="140"/>
  <c r="G125" i="140" s="1"/>
  <c r="L125" i="140" s="1"/>
  <c r="E124" i="140"/>
  <c r="G124" i="140" s="1"/>
  <c r="L124" i="140" s="1"/>
  <c r="D123" i="140"/>
  <c r="E123" i="140" s="1"/>
  <c r="D122" i="140"/>
  <c r="E122" i="140" s="1"/>
  <c r="K122" i="140" s="1"/>
  <c r="L122" i="140" s="1"/>
  <c r="E121" i="140"/>
  <c r="I121" i="140" s="1"/>
  <c r="L121" i="140" s="1"/>
  <c r="D119" i="140"/>
  <c r="E119" i="140" s="1"/>
  <c r="G119" i="140" s="1"/>
  <c r="L119" i="140" s="1"/>
  <c r="D118" i="140"/>
  <c r="E118" i="140" s="1"/>
  <c r="G118" i="140" s="1"/>
  <c r="L118" i="140" s="1"/>
  <c r="D117" i="140"/>
  <c r="E117" i="140" s="1"/>
  <c r="G117" i="140" s="1"/>
  <c r="L117" i="140" s="1"/>
  <c r="E116" i="140"/>
  <c r="K116" i="140" s="1"/>
  <c r="L116" i="140" s="1"/>
  <c r="E115" i="140"/>
  <c r="I115" i="140" s="1"/>
  <c r="L115" i="140" s="1"/>
  <c r="E98" i="140"/>
  <c r="G98" i="140" s="1"/>
  <c r="L98" i="140" s="1"/>
  <c r="E97" i="140"/>
  <c r="G97" i="140" s="1"/>
  <c r="L97" i="140" s="1"/>
  <c r="E96" i="140"/>
  <c r="G96" i="140" s="1"/>
  <c r="L96" i="140" s="1"/>
  <c r="E94" i="140"/>
  <c r="G94" i="140" s="1"/>
  <c r="L94" i="140" s="1"/>
  <c r="E93" i="140"/>
  <c r="K93" i="140" s="1"/>
  <c r="L93" i="140" s="1"/>
  <c r="E92" i="140"/>
  <c r="I92" i="140" s="1"/>
  <c r="L92" i="140" s="1"/>
  <c r="G90" i="140"/>
  <c r="L90" i="140" s="1"/>
  <c r="K89" i="140"/>
  <c r="L89" i="140" s="1"/>
  <c r="E88" i="140"/>
  <c r="I88" i="140" s="1"/>
  <c r="L88" i="140" s="1"/>
  <c r="E86" i="140"/>
  <c r="G86" i="140" s="1"/>
  <c r="L86" i="140" s="1"/>
  <c r="E85" i="140"/>
  <c r="G85" i="140" s="1"/>
  <c r="L85" i="140" s="1"/>
  <c r="D84" i="140"/>
  <c r="E84" i="140" s="1"/>
  <c r="G84" i="140" s="1"/>
  <c r="L84" i="140" s="1"/>
  <c r="E83" i="140"/>
  <c r="K83" i="140" s="1"/>
  <c r="L83" i="140" s="1"/>
  <c r="E82" i="140"/>
  <c r="I82" i="140" s="1"/>
  <c r="L82" i="140" s="1"/>
  <c r="E80" i="140"/>
  <c r="G80" i="140" s="1"/>
  <c r="L80" i="140" s="1"/>
  <c r="G79" i="140"/>
  <c r="L79" i="140" s="1"/>
  <c r="G78" i="140"/>
  <c r="L78" i="140" s="1"/>
  <c r="G77" i="140"/>
  <c r="L77" i="140" s="1"/>
  <c r="G76" i="140"/>
  <c r="L76" i="140" s="1"/>
  <c r="G75" i="140"/>
  <c r="L75" i="140" s="1"/>
  <c r="G74" i="140"/>
  <c r="E73" i="140"/>
  <c r="I73" i="140" s="1"/>
  <c r="L73" i="140" s="1"/>
  <c r="D56" i="140"/>
  <c r="E55" i="140"/>
  <c r="E50" i="140"/>
  <c r="I50" i="140" s="1"/>
  <c r="L50" i="140" s="1"/>
  <c r="E39" i="140"/>
  <c r="E40" i="140" s="1"/>
  <c r="I40" i="140" s="1"/>
  <c r="L40" i="140" s="1"/>
  <c r="E37" i="140"/>
  <c r="K37" i="140" s="1"/>
  <c r="L37" i="140" s="1"/>
  <c r="E33" i="140"/>
  <c r="K33" i="140" s="1"/>
  <c r="L33" i="140" s="1"/>
  <c r="E32" i="140"/>
  <c r="K32" i="140" s="1"/>
  <c r="L32" i="140" s="1"/>
  <c r="E31" i="140"/>
  <c r="I31" i="140" s="1"/>
  <c r="L31" i="140" s="1"/>
  <c r="E29" i="140"/>
  <c r="K29" i="140" s="1"/>
  <c r="L29" i="140" s="1"/>
  <c r="E28" i="140"/>
  <c r="I28" i="140" s="1"/>
  <c r="L28" i="140" s="1"/>
  <c r="D25" i="140"/>
  <c r="E25" i="140" s="1"/>
  <c r="K25" i="140" s="1"/>
  <c r="L25" i="140" s="1"/>
  <c r="D24" i="140"/>
  <c r="E24" i="140" s="1"/>
  <c r="I24" i="140" s="1"/>
  <c r="L24" i="140" s="1"/>
  <c r="K21" i="140"/>
  <c r="L21" i="140" s="1"/>
  <c r="E20" i="140"/>
  <c r="I20" i="140" s="1"/>
  <c r="L20" i="140" s="1"/>
  <c r="D18" i="140"/>
  <c r="E18" i="140" s="1"/>
  <c r="K18" i="140" s="1"/>
  <c r="L18" i="140" s="1"/>
  <c r="D17" i="140"/>
  <c r="E17" i="140" s="1"/>
  <c r="I17" i="140" s="1"/>
  <c r="L17" i="140" s="1"/>
  <c r="E15" i="140"/>
  <c r="K15" i="140" s="1"/>
  <c r="L15" i="140" s="1"/>
  <c r="E14" i="140"/>
  <c r="I14" i="140" s="1"/>
  <c r="L14" i="140" s="1"/>
  <c r="E187" i="140" l="1"/>
  <c r="K187" i="140" s="1"/>
  <c r="L187" i="140" s="1"/>
  <c r="E184" i="140"/>
  <c r="I184" i="140" s="1"/>
  <c r="L184" i="140" s="1"/>
  <c r="E186" i="140"/>
  <c r="K186" i="140" s="1"/>
  <c r="L186" i="140" s="1"/>
  <c r="E185" i="140"/>
  <c r="K185" i="140" s="1"/>
  <c r="L185" i="140" s="1"/>
  <c r="E188" i="140"/>
  <c r="K188" i="140" s="1"/>
  <c r="L188" i="140" s="1"/>
  <c r="E190" i="140"/>
  <c r="G190" i="140" s="1"/>
  <c r="L190" i="140" s="1"/>
  <c r="E189" i="140"/>
  <c r="G189" i="140" s="1"/>
  <c r="L189" i="140" s="1"/>
  <c r="L74" i="140"/>
  <c r="E192" i="140"/>
  <c r="I192" i="140" s="1"/>
  <c r="L192" i="140" s="1"/>
  <c r="G292" i="140"/>
  <c r="L292" i="140" s="1"/>
  <c r="E42" i="140"/>
  <c r="K42" i="140" s="1"/>
  <c r="L42" i="140" s="1"/>
  <c r="E36" i="140"/>
  <c r="K36" i="140" s="1"/>
  <c r="L36" i="140" s="1"/>
  <c r="K57" i="140"/>
  <c r="L57" i="140" s="1"/>
  <c r="E38" i="140"/>
  <c r="K38" i="140" s="1"/>
  <c r="L38" i="140" s="1"/>
  <c r="E35" i="140"/>
  <c r="I35" i="140" s="1"/>
  <c r="L35" i="140" s="1"/>
  <c r="E56" i="140"/>
  <c r="I56" i="140" s="1"/>
  <c r="L56" i="140" s="1"/>
  <c r="E195" i="140"/>
  <c r="G195" i="140" s="1"/>
  <c r="L195" i="140" s="1"/>
  <c r="E193" i="140"/>
  <c r="K193" i="140" s="1"/>
  <c r="L193" i="140" s="1"/>
  <c r="E41" i="140"/>
  <c r="K41" i="140" s="1"/>
  <c r="L41" i="140" s="1"/>
  <c r="E238" i="140"/>
  <c r="I238" i="140" s="1"/>
  <c r="L238" i="140" s="1"/>
  <c r="E240" i="140"/>
  <c r="G240" i="140" s="1"/>
  <c r="L240" i="140" s="1"/>
  <c r="E265" i="140"/>
  <c r="G265" i="140" s="1"/>
  <c r="L265" i="140" s="1"/>
  <c r="E259" i="140"/>
  <c r="I259" i="140" s="1"/>
  <c r="L259" i="140" s="1"/>
  <c r="E266" i="140"/>
  <c r="G266" i="140" s="1"/>
  <c r="L266" i="140" s="1"/>
  <c r="K260" i="140"/>
  <c r="L260" i="140" s="1"/>
  <c r="E261" i="140"/>
  <c r="K261" i="140" s="1"/>
  <c r="L261" i="140" s="1"/>
  <c r="E241" i="140"/>
  <c r="G241" i="140" s="1"/>
  <c r="L241" i="140" s="1"/>
  <c r="G245" i="140"/>
  <c r="L245" i="140" s="1"/>
  <c r="E264" i="140"/>
  <c r="G264" i="140" s="1"/>
  <c r="L264" i="140" s="1"/>
  <c r="G123" i="140"/>
  <c r="L123" i="140" s="1"/>
  <c r="E213" i="140"/>
  <c r="G213" i="140" s="1"/>
  <c r="L213" i="140" s="1"/>
  <c r="L313" i="140" l="1"/>
  <c r="G313" i="140"/>
  <c r="L314" i="140" s="1"/>
  <c r="I313" i="140"/>
  <c r="K313" i="140"/>
  <c r="L315" i="140" l="1"/>
  <c r="L316" i="140" s="1"/>
  <c r="L317" i="140" s="1"/>
  <c r="L318" i="140" s="1"/>
  <c r="L319" i="140" s="1"/>
  <c r="D16" i="135" s="1"/>
  <c r="H16" i="135" l="1"/>
  <c r="E134" i="112"/>
  <c r="I134" i="112" s="1"/>
  <c r="L134" i="112" s="1"/>
  <c r="E11" i="131"/>
  <c r="I11" i="131" s="1"/>
  <c r="G52" i="131"/>
  <c r="L52" i="131" s="1"/>
  <c r="G51" i="131"/>
  <c r="L51" i="131" s="1"/>
  <c r="G50" i="131"/>
  <c r="L50" i="131" s="1"/>
  <c r="E53" i="131"/>
  <c r="G53" i="131" s="1"/>
  <c r="L53" i="131" s="1"/>
  <c r="E49" i="131"/>
  <c r="E48" i="131"/>
  <c r="K48" i="131" s="1"/>
  <c r="L48" i="131" s="1"/>
  <c r="E47" i="131"/>
  <c r="I47" i="131" s="1"/>
  <c r="L47" i="131" s="1"/>
  <c r="E44" i="131"/>
  <c r="G44" i="131" s="1"/>
  <c r="L44" i="131" s="1"/>
  <c r="G43" i="131"/>
  <c r="L43" i="131" s="1"/>
  <c r="G42" i="131"/>
  <c r="L42" i="131" s="1"/>
  <c r="G41" i="131"/>
  <c r="L41" i="131" s="1"/>
  <c r="E40" i="131"/>
  <c r="G40" i="131" s="1"/>
  <c r="L40" i="131" s="1"/>
  <c r="E39" i="131"/>
  <c r="K39" i="131" s="1"/>
  <c r="L39" i="131" s="1"/>
  <c r="E38" i="131"/>
  <c r="I38" i="131" s="1"/>
  <c r="L38" i="131" s="1"/>
  <c r="E36" i="131"/>
  <c r="G36" i="131" s="1"/>
  <c r="L36" i="131" s="1"/>
  <c r="E35" i="131"/>
  <c r="G35" i="131" s="1"/>
  <c r="L35" i="131" s="1"/>
  <c r="E33" i="131"/>
  <c r="K33" i="131" s="1"/>
  <c r="L33" i="131" s="1"/>
  <c r="G27" i="131"/>
  <c r="L27" i="131" s="1"/>
  <c r="G26" i="131"/>
  <c r="L26" i="131" s="1"/>
  <c r="E25" i="131"/>
  <c r="G25" i="131" s="1"/>
  <c r="L25" i="131" s="1"/>
  <c r="G24" i="131"/>
  <c r="L24" i="131" s="1"/>
  <c r="E23" i="131"/>
  <c r="G23" i="131" s="1"/>
  <c r="L23" i="131" s="1"/>
  <c r="E22" i="131"/>
  <c r="K22" i="131" s="1"/>
  <c r="L22" i="131" s="1"/>
  <c r="E21" i="131"/>
  <c r="E30" i="131" s="1"/>
  <c r="G30" i="131" s="1"/>
  <c r="L30" i="131" s="1"/>
  <c r="E19" i="131"/>
  <c r="G19" i="131" s="1"/>
  <c r="E18" i="131"/>
  <c r="I18" i="131" s="1"/>
  <c r="L18" i="131" s="1"/>
  <c r="F17" i="135" l="1"/>
  <c r="G49" i="131"/>
  <c r="L49" i="131" s="1"/>
  <c r="I21" i="131"/>
  <c r="L21" i="131" s="1"/>
  <c r="L19" i="131"/>
  <c r="L11" i="131"/>
  <c r="E14" i="131"/>
  <c r="E15" i="131" s="1"/>
  <c r="I15" i="131" s="1"/>
  <c r="L15" i="131" s="1"/>
  <c r="K55" i="131" l="1"/>
  <c r="L55" i="131"/>
  <c r="I55" i="131"/>
  <c r="G55" i="131"/>
  <c r="L56" i="131" s="1"/>
  <c r="L57" i="131" l="1"/>
  <c r="L58" i="131" s="1"/>
  <c r="L59" i="131" s="1"/>
  <c r="L60" i="131" l="1"/>
  <c r="L61" i="131" s="1"/>
  <c r="D13" i="135" s="1"/>
  <c r="H13" i="135" s="1"/>
  <c r="E99" i="112" l="1"/>
  <c r="G99" i="112" s="1"/>
  <c r="L99" i="112" s="1"/>
  <c r="E158" i="112"/>
  <c r="G158" i="112" s="1"/>
  <c r="L158" i="112" s="1"/>
  <c r="E171" i="112"/>
  <c r="G171" i="112" s="1"/>
  <c r="L171" i="112" s="1"/>
  <c r="E170" i="112"/>
  <c r="G170" i="112" s="1"/>
  <c r="L170" i="112" s="1"/>
  <c r="E169" i="112"/>
  <c r="G169" i="112" s="1"/>
  <c r="L169" i="112" s="1"/>
  <c r="E168" i="112"/>
  <c r="K168" i="112" s="1"/>
  <c r="L168" i="112" s="1"/>
  <c r="E167" i="112"/>
  <c r="I167" i="112" s="1"/>
  <c r="L167" i="112" s="1"/>
  <c r="E36" i="112"/>
  <c r="I36" i="112" s="1"/>
  <c r="L36" i="112" s="1"/>
  <c r="E34" i="112"/>
  <c r="I34" i="112" s="1"/>
  <c r="L34" i="112" s="1"/>
  <c r="E31" i="112"/>
  <c r="I31" i="112" s="1"/>
  <c r="L31" i="112" s="1"/>
  <c r="E29" i="112"/>
  <c r="K29" i="112" s="1"/>
  <c r="L29" i="112" s="1"/>
  <c r="E28" i="112"/>
  <c r="I28" i="112" s="1"/>
  <c r="L28" i="112" s="1"/>
  <c r="E26" i="112"/>
  <c r="K26" i="112" s="1"/>
  <c r="L26" i="112" s="1"/>
  <c r="E25" i="112"/>
  <c r="I25" i="112" s="1"/>
  <c r="L25" i="112" s="1"/>
  <c r="D18" i="112"/>
  <c r="D13" i="112"/>
  <c r="D11" i="112"/>
  <c r="E32" i="112" l="1"/>
  <c r="K32" i="112" s="1"/>
  <c r="L32" i="112" s="1"/>
  <c r="E49" i="128" l="1"/>
  <c r="G49" i="128" s="1"/>
  <c r="L49" i="128" s="1"/>
  <c r="G48" i="128"/>
  <c r="L48" i="128" s="1"/>
  <c r="E47" i="128"/>
  <c r="G47" i="128" s="1"/>
  <c r="L47" i="128" s="1"/>
  <c r="E46" i="128"/>
  <c r="K46" i="128" s="1"/>
  <c r="L46" i="128" s="1"/>
  <c r="E45" i="128"/>
  <c r="I45" i="128" s="1"/>
  <c r="L45" i="128" s="1"/>
  <c r="E43" i="128"/>
  <c r="G43" i="128" s="1"/>
  <c r="L43" i="128" s="1"/>
  <c r="E42" i="128"/>
  <c r="G42" i="128" s="1"/>
  <c r="L42" i="128" s="1"/>
  <c r="E41" i="128"/>
  <c r="K41" i="128" s="1"/>
  <c r="L41" i="128" s="1"/>
  <c r="E40" i="128"/>
  <c r="I40" i="128" s="1"/>
  <c r="L40" i="128" s="1"/>
  <c r="E38" i="128"/>
  <c r="G38" i="128" s="1"/>
  <c r="L38" i="128" s="1"/>
  <c r="F37" i="128"/>
  <c r="G37" i="128" s="1"/>
  <c r="L37" i="128" s="1"/>
  <c r="E36" i="128"/>
  <c r="K36" i="128" s="1"/>
  <c r="L36" i="128" s="1"/>
  <c r="E35" i="128"/>
  <c r="I35" i="128" s="1"/>
  <c r="L35" i="128" s="1"/>
  <c r="F31" i="128"/>
  <c r="D29" i="128"/>
  <c r="E28" i="128"/>
  <c r="E30" i="128" s="1"/>
  <c r="K30" i="128" s="1"/>
  <c r="L30" i="128" s="1"/>
  <c r="E27" i="128"/>
  <c r="G27" i="128" s="1"/>
  <c r="L27" i="128" s="1"/>
  <c r="F26" i="128"/>
  <c r="G26" i="128" s="1"/>
  <c r="L26" i="128" s="1"/>
  <c r="E25" i="128"/>
  <c r="K25" i="128" s="1"/>
  <c r="L25" i="128" s="1"/>
  <c r="E24" i="128"/>
  <c r="I24" i="128" s="1"/>
  <c r="G22" i="128"/>
  <c r="L22" i="128" s="1"/>
  <c r="F21" i="128"/>
  <c r="E20" i="128"/>
  <c r="K20" i="128" s="1"/>
  <c r="L20" i="128" s="1"/>
  <c r="E19" i="128"/>
  <c r="I19" i="128" s="1"/>
  <c r="L19" i="128" s="1"/>
  <c r="E17" i="128"/>
  <c r="G17" i="128" s="1"/>
  <c r="L17" i="128" s="1"/>
  <c r="F16" i="128"/>
  <c r="E16" i="128"/>
  <c r="G15" i="128"/>
  <c r="L15" i="128" s="1"/>
  <c r="G14" i="128"/>
  <c r="L14" i="128" s="1"/>
  <c r="E13" i="128"/>
  <c r="G13" i="128" s="1"/>
  <c r="E12" i="128"/>
  <c r="K12" i="128" s="1"/>
  <c r="G16" i="128" l="1"/>
  <c r="L16" i="128" s="1"/>
  <c r="E29" i="128"/>
  <c r="I29" i="128" s="1"/>
  <c r="L29" i="128" s="1"/>
  <c r="E33" i="128"/>
  <c r="G33" i="128" s="1"/>
  <c r="L33" i="128" s="1"/>
  <c r="K51" i="128"/>
  <c r="L12" i="128"/>
  <c r="L24" i="128"/>
  <c r="L13" i="128"/>
  <c r="E31" i="128"/>
  <c r="G31" i="128" s="1"/>
  <c r="E32" i="128"/>
  <c r="G32" i="128" s="1"/>
  <c r="L32" i="128" s="1"/>
  <c r="I51" i="128" l="1"/>
  <c r="L31" i="128"/>
  <c r="G51" i="128"/>
  <c r="L52" i="128" s="1"/>
  <c r="L51" i="128"/>
  <c r="L53" i="128" l="1"/>
  <c r="L54" i="128" l="1"/>
  <c r="L55" i="128" s="1"/>
  <c r="L56" i="128" s="1"/>
  <c r="E55" i="121"/>
  <c r="G55" i="121" s="1"/>
  <c r="L55" i="121" s="1"/>
  <c r="G53" i="121"/>
  <c r="L53" i="121" s="1"/>
  <c r="G52" i="121"/>
  <c r="L52" i="121" s="1"/>
  <c r="G51" i="121"/>
  <c r="L51" i="121" s="1"/>
  <c r="E50" i="121"/>
  <c r="E49" i="121"/>
  <c r="K49" i="121" s="1"/>
  <c r="L49" i="121" s="1"/>
  <c r="E48" i="121"/>
  <c r="I48" i="121" s="1"/>
  <c r="L48" i="121" s="1"/>
  <c r="L57" i="128" l="1"/>
  <c r="D15" i="135" s="1"/>
  <c r="H15" i="135" s="1"/>
  <c r="G50" i="121"/>
  <c r="L50" i="121" s="1"/>
  <c r="E524" i="121" l="1"/>
  <c r="E39" i="121"/>
  <c r="G39" i="121" s="1"/>
  <c r="L39" i="121" s="1"/>
  <c r="G38" i="121"/>
  <c r="L38" i="121" s="1"/>
  <c r="E36" i="121"/>
  <c r="K36" i="121" s="1"/>
  <c r="L36" i="121" s="1"/>
  <c r="E35" i="121"/>
  <c r="I35" i="121" s="1"/>
  <c r="L35" i="121" s="1"/>
  <c r="E27" i="121"/>
  <c r="G27" i="121" s="1"/>
  <c r="L27" i="121" s="1"/>
  <c r="G26" i="121"/>
  <c r="L26" i="121" s="1"/>
  <c r="G25" i="121"/>
  <c r="L25" i="121" s="1"/>
  <c r="G24" i="121"/>
  <c r="L24" i="121" s="1"/>
  <c r="G23" i="121"/>
  <c r="L23" i="121" s="1"/>
  <c r="G22" i="121"/>
  <c r="L22" i="121" s="1"/>
  <c r="E21" i="121"/>
  <c r="G21" i="121" s="1"/>
  <c r="L21" i="121" s="1"/>
  <c r="E20" i="121"/>
  <c r="K20" i="121" s="1"/>
  <c r="L20" i="121" s="1"/>
  <c r="E19" i="121"/>
  <c r="I19" i="121" s="1"/>
  <c r="L19" i="121" s="1"/>
  <c r="E17" i="121"/>
  <c r="G17" i="121" s="1"/>
  <c r="L17" i="121" s="1"/>
  <c r="G16" i="121"/>
  <c r="L16" i="121" s="1"/>
  <c r="G15" i="121"/>
  <c r="L15" i="121" s="1"/>
  <c r="G14" i="121"/>
  <c r="L14" i="121" s="1"/>
  <c r="G13" i="121"/>
  <c r="L13" i="121" s="1"/>
  <c r="E12" i="121"/>
  <c r="G12" i="121" s="1"/>
  <c r="E11" i="121"/>
  <c r="K11" i="121" s="1"/>
  <c r="E10" i="121"/>
  <c r="I10" i="121" s="1"/>
  <c r="G13" i="117"/>
  <c r="L13" i="117" s="1"/>
  <c r="K67" i="117"/>
  <c r="G64" i="117"/>
  <c r="E61" i="117"/>
  <c r="I61" i="117" s="1"/>
  <c r="G48" i="117"/>
  <c r="L48" i="117" s="1"/>
  <c r="G47" i="117"/>
  <c r="L47" i="117" s="1"/>
  <c r="G46" i="117"/>
  <c r="L46" i="117" s="1"/>
  <c r="G45" i="117"/>
  <c r="L45" i="117" s="1"/>
  <c r="E43" i="117"/>
  <c r="G43" i="117" s="1"/>
  <c r="L43" i="117" s="1"/>
  <c r="F42" i="117"/>
  <c r="E42" i="117"/>
  <c r="E41" i="117"/>
  <c r="K41" i="117" s="1"/>
  <c r="L41" i="117" s="1"/>
  <c r="E40" i="117"/>
  <c r="I40" i="117" s="1"/>
  <c r="L40" i="117" s="1"/>
  <c r="E37" i="117"/>
  <c r="G37" i="117" s="1"/>
  <c r="L37" i="117" s="1"/>
  <c r="G36" i="117"/>
  <c r="L36" i="117" s="1"/>
  <c r="G35" i="117"/>
  <c r="L35" i="117" s="1"/>
  <c r="E34" i="117"/>
  <c r="G34" i="117" s="1"/>
  <c r="L34" i="117" s="1"/>
  <c r="E33" i="117"/>
  <c r="I33" i="117" s="1"/>
  <c r="L33" i="117" s="1"/>
  <c r="E31" i="117"/>
  <c r="G31" i="117" s="1"/>
  <c r="L31" i="117" s="1"/>
  <c r="G30" i="117"/>
  <c r="L30" i="117" s="1"/>
  <c r="G29" i="117"/>
  <c r="L29" i="117" s="1"/>
  <c r="E28" i="117"/>
  <c r="G28" i="117" s="1"/>
  <c r="L28" i="117" s="1"/>
  <c r="E27" i="117"/>
  <c r="I27" i="117" s="1"/>
  <c r="L27" i="117" s="1"/>
  <c r="E25" i="117"/>
  <c r="G25" i="117" s="1"/>
  <c r="L25" i="117" s="1"/>
  <c r="E24" i="117"/>
  <c r="G24" i="117" s="1"/>
  <c r="L24" i="117" s="1"/>
  <c r="G23" i="117"/>
  <c r="L23" i="117" s="1"/>
  <c r="E22" i="117"/>
  <c r="G22" i="117" s="1"/>
  <c r="L22" i="117" s="1"/>
  <c r="E21" i="117"/>
  <c r="I21" i="117" s="1"/>
  <c r="L21" i="117" s="1"/>
  <c r="E19" i="117"/>
  <c r="G19" i="117" s="1"/>
  <c r="L19" i="117" s="1"/>
  <c r="E18" i="117"/>
  <c r="G18" i="117" s="1"/>
  <c r="L18" i="117" s="1"/>
  <c r="E17" i="117"/>
  <c r="K17" i="117" s="1"/>
  <c r="L17" i="117" s="1"/>
  <c r="E16" i="117"/>
  <c r="I16" i="117" s="1"/>
  <c r="L16" i="117" s="1"/>
  <c r="E14" i="117"/>
  <c r="G14" i="117" s="1"/>
  <c r="L14" i="117" s="1"/>
  <c r="G12" i="117"/>
  <c r="L12" i="117" s="1"/>
  <c r="E11" i="117"/>
  <c r="K11" i="117" s="1"/>
  <c r="L11" i="117" s="1"/>
  <c r="E10" i="117"/>
  <c r="I10" i="117" s="1"/>
  <c r="L10" i="117" s="1"/>
  <c r="K70" i="121" l="1"/>
  <c r="L10" i="121"/>
  <c r="I70" i="121"/>
  <c r="G70" i="121"/>
  <c r="L71" i="121" s="1"/>
  <c r="L11" i="121"/>
  <c r="L12" i="121"/>
  <c r="G42" i="117"/>
  <c r="L42" i="117" s="1"/>
  <c r="I67" i="117"/>
  <c r="G67" i="117"/>
  <c r="L68" i="117" s="1"/>
  <c r="L64" i="117"/>
  <c r="G50" i="117"/>
  <c r="L51" i="117" s="1"/>
  <c r="L61" i="117"/>
  <c r="I50" i="117"/>
  <c r="L53" i="117" s="1"/>
  <c r="K50" i="117"/>
  <c r="L70" i="121" l="1"/>
  <c r="L72" i="121" s="1"/>
  <c r="L73" i="121" s="1"/>
  <c r="L74" i="121" s="1"/>
  <c r="L75" i="121" s="1"/>
  <c r="L76" i="121" s="1"/>
  <c r="D12" i="135" s="1"/>
  <c r="H12" i="135" s="1"/>
  <c r="L67" i="117"/>
  <c r="L50" i="117"/>
  <c r="L52" i="117" s="1"/>
  <c r="L54" i="117" s="1"/>
  <c r="L55" i="117" s="1"/>
  <c r="L56" i="117" s="1"/>
  <c r="L70" i="117" l="1"/>
  <c r="L69" i="117"/>
  <c r="L76" i="117"/>
  <c r="E14" i="135" s="1"/>
  <c r="E17" i="135" s="1"/>
  <c r="L71" i="117" l="1"/>
  <c r="L72" i="117" l="1"/>
  <c r="L73" i="117" s="1"/>
  <c r="E85" i="112"/>
  <c r="E77" i="112"/>
  <c r="E82" i="112" s="1"/>
  <c r="G82" i="112" s="1"/>
  <c r="L82" i="112" s="1"/>
  <c r="E19" i="112"/>
  <c r="E69" i="112"/>
  <c r="E17" i="112"/>
  <c r="E14" i="112"/>
  <c r="E12" i="112"/>
  <c r="E10" i="112"/>
  <c r="L75" i="117" l="1"/>
  <c r="D14" i="135" s="1"/>
  <c r="H14" i="135" s="1"/>
  <c r="L74" i="117"/>
  <c r="E13" i="112"/>
  <c r="I13" i="112" s="1"/>
  <c r="L13" i="112" s="1"/>
  <c r="E18" i="112"/>
  <c r="I18" i="112" s="1"/>
  <c r="L18" i="112" s="1"/>
  <c r="E11" i="112"/>
  <c r="I11" i="112" s="1"/>
  <c r="L11" i="112" s="1"/>
  <c r="E21" i="112"/>
  <c r="K21" i="112" s="1"/>
  <c r="L21" i="112" s="1"/>
  <c r="E20" i="112"/>
  <c r="I20" i="112" s="1"/>
  <c r="L20" i="112" s="1"/>
  <c r="E16" i="112"/>
  <c r="K16" i="112" s="1"/>
  <c r="L16" i="112" s="1"/>
  <c r="E15" i="112"/>
  <c r="I15" i="112" s="1"/>
  <c r="L15" i="112" s="1"/>
  <c r="E81" i="112"/>
  <c r="G81" i="112" s="1"/>
  <c r="L81" i="112" s="1"/>
  <c r="E80" i="112"/>
  <c r="G80" i="112" s="1"/>
  <c r="L80" i="112" s="1"/>
  <c r="E84" i="112"/>
  <c r="G84" i="112" s="1"/>
  <c r="L84" i="112" s="1"/>
  <c r="E79" i="112"/>
  <c r="K79" i="112" s="1"/>
  <c r="L79" i="112" s="1"/>
  <c r="E83" i="112"/>
  <c r="G83" i="112" s="1"/>
  <c r="L83" i="112" s="1"/>
  <c r="E78" i="112"/>
  <c r="I78" i="112" s="1"/>
  <c r="L78" i="112" s="1"/>
  <c r="E157" i="112" l="1"/>
  <c r="K157" i="112" s="1"/>
  <c r="L157" i="112" s="1"/>
  <c r="E156" i="112"/>
  <c r="I156" i="112" s="1"/>
  <c r="L156" i="112" s="1"/>
  <c r="E137" i="112"/>
  <c r="G137" i="112" s="1"/>
  <c r="L137" i="112" s="1"/>
  <c r="E136" i="112"/>
  <c r="G136" i="112" s="1"/>
  <c r="L136" i="112" s="1"/>
  <c r="E135" i="112"/>
  <c r="K135" i="112" s="1"/>
  <c r="L135" i="112" s="1"/>
  <c r="E100" i="112"/>
  <c r="G100" i="112" s="1"/>
  <c r="L100" i="112" s="1"/>
  <c r="D98" i="112"/>
  <c r="E98" i="112" s="1"/>
  <c r="G98" i="112" s="1"/>
  <c r="L98" i="112" s="1"/>
  <c r="E97" i="112"/>
  <c r="K97" i="112" s="1"/>
  <c r="L97" i="112" s="1"/>
  <c r="E96" i="112"/>
  <c r="I96" i="112" s="1"/>
  <c r="L96" i="112" s="1"/>
  <c r="E94" i="112"/>
  <c r="G94" i="112" s="1"/>
  <c r="L94" i="112" s="1"/>
  <c r="L93" i="112"/>
  <c r="D93" i="112"/>
  <c r="E93" i="112" s="1"/>
  <c r="D92" i="112"/>
  <c r="E92" i="112" s="1"/>
  <c r="K92" i="112" s="1"/>
  <c r="L92" i="112" s="1"/>
  <c r="E91" i="112"/>
  <c r="I91" i="112" s="1"/>
  <c r="L91" i="112" s="1"/>
  <c r="E89" i="112"/>
  <c r="G89" i="112" s="1"/>
  <c r="L89" i="112" s="1"/>
  <c r="E76" i="112"/>
  <c r="G76" i="112" s="1"/>
  <c r="L76" i="112" s="1"/>
  <c r="E75" i="112"/>
  <c r="G75" i="112" s="1"/>
  <c r="L75" i="112" s="1"/>
  <c r="E74" i="112"/>
  <c r="G74" i="112" s="1"/>
  <c r="L74" i="112" s="1"/>
  <c r="E73" i="112"/>
  <c r="G73" i="112" s="1"/>
  <c r="L73" i="112" s="1"/>
  <c r="E72" i="112"/>
  <c r="G72" i="112" s="1"/>
  <c r="E71" i="112"/>
  <c r="K71" i="112" s="1"/>
  <c r="E70" i="112"/>
  <c r="I70" i="112" s="1"/>
  <c r="L71" i="112" l="1"/>
  <c r="L72" i="112"/>
  <c r="L70" i="112"/>
  <c r="I86" i="112"/>
  <c r="L86" i="112" s="1"/>
  <c r="G88" i="112"/>
  <c r="L88" i="112" s="1"/>
  <c r="E87" i="112"/>
  <c r="K87" i="112" s="1"/>
  <c r="L87" i="112" s="1"/>
  <c r="L193" i="112" l="1"/>
  <c r="G193" i="112"/>
  <c r="L194" i="112" s="1"/>
  <c r="I193" i="112"/>
  <c r="K193" i="112"/>
  <c r="L195" i="112" l="1"/>
  <c r="L196" i="112" l="1"/>
  <c r="L197" i="112" s="1"/>
  <c r="L198" i="112" s="1"/>
  <c r="L199" i="112" s="1"/>
  <c r="D11" i="135" s="1"/>
  <c r="D17" i="135" s="1"/>
  <c r="H11" i="135" l="1"/>
  <c r="H17" i="135" l="1"/>
  <c r="H18" i="135" l="1"/>
  <c r="H19" i="135" s="1"/>
  <c r="H20" i="135" s="1"/>
  <c r="H21" i="135" s="1"/>
  <c r="H22" i="135" l="1"/>
  <c r="H23" i="135" s="1"/>
  <c r="G6" i="135" s="1"/>
  <c r="H8" i="53" l="1"/>
  <c r="L8" i="53" s="1"/>
  <c r="K20" i="55"/>
</calcChain>
</file>

<file path=xl/sharedStrings.xml><?xml version="1.0" encoding="utf-8"?>
<sst xmlns="http://schemas.openxmlformats.org/spreadsheetml/2006/main" count="1551" uniqueCount="443">
  <si>
    <t>კრებსითი სახარჯთაღრიცხვო  გაანგარიშება</t>
  </si>
  <si>
    <t xml:space="preserve">სახარჯთაღრიცხვო ღირებულება  </t>
  </si>
  <si>
    <t>ლარი</t>
  </si>
  <si>
    <t>შეადგინა</t>
  </si>
  <si>
    <t>./ დ. ურჯუმელაშვილი/</t>
  </si>
  <si>
    <t>ganmartebiTi baraTi</t>
  </si>
  <si>
    <t xml:space="preserve">   სახარჯთაღრიცხვო დოკუმენტაცია შედგენილია მუშა ნახაზების საფუძველზე.</t>
  </si>
  <si>
    <t xml:space="preserve">    mTlianma saxarjTaRricxvo Rirebulebam Seadgina:</t>
  </si>
  <si>
    <t>lari, maT Soris dRg:</t>
  </si>
  <si>
    <t>lari.</t>
  </si>
  <si>
    <t xml:space="preserve">   სახარჯთაღრიცხვო დოკუმენტაცია საბაზრო ურთიერთობების პირობებში განსაზღვრავს მშენებლობის  წინასწარ საორიენტაციო ღირებულებას და არ წარმოადგენს დამკვეთსა და მოიჯარეს შორის გადახდის საშუალებას.</t>
  </si>
  <si>
    <t>შეადგინა:</t>
  </si>
  <si>
    <t>/  დ.ურჯუმელაშვილი /</t>
  </si>
  <si>
    <t>#</t>
  </si>
  <si>
    <t>სახარჯთარრიცხვო ანგარიშის, ხარჯთაღრიცხვის ნომერი</t>
  </si>
  <si>
    <t>სახარჯთაღრიცხვო ღირებულება, ლარი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</si>
  <si>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</si>
  <si>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</si>
  <si>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</si>
  <si>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 და ინვენტარი</t>
  </si>
  <si>
    <t>სხვა ხარჯები</t>
  </si>
  <si>
    <t>ჯამი</t>
  </si>
  <si>
    <t>სულ</t>
  </si>
  <si>
    <t>რეზერვი გაუთვალისწინებელ სამუშაოებზე 5%</t>
  </si>
  <si>
    <t xml:space="preserve">დამატებული ღირებულების გადასახადი 18% </t>
  </si>
  <si>
    <t>სახარჯთაღრიცხვო ღირებულება</t>
  </si>
  <si>
    <t>rigiTi #</t>
  </si>
  <si>
    <t>სამუშაოების და დანახარჯების დასახელება</t>
  </si>
  <si>
    <t xml:space="preserve">სამონტაჟო სამუშაოები </t>
  </si>
  <si>
    <t>საერთო-სამშენებლო სამუშაოები</t>
  </si>
  <si>
    <t>ელექტროსამონტაჟო სამუშაოები</t>
  </si>
  <si>
    <t>გათბობა-გაგრილების სამუშაოები</t>
  </si>
  <si>
    <t>განზ.ერთ.</t>
  </si>
  <si>
    <t>რაოდენობა</t>
  </si>
  <si>
    <t>მასალა</t>
  </si>
  <si>
    <t>ხელფასი</t>
  </si>
  <si>
    <t>ტრანსპორტი (მექანიზმები)</t>
  </si>
  <si>
    <t>ღირებულება</t>
  </si>
  <si>
    <t>განზ. ერთ-ზე</t>
  </si>
  <si>
    <t>ganz. erT-ze</t>
  </si>
  <si>
    <t>sul</t>
  </si>
  <si>
    <r>
      <rPr>
        <b/>
        <sz val="10"/>
        <rFont val="AcadNusx"/>
      </rPr>
      <t>მ</t>
    </r>
    <r>
      <rPr>
        <b/>
        <vertAlign val="superscript"/>
        <sz val="10"/>
        <rFont val="AcadNusx"/>
      </rPr>
      <t>3</t>
    </r>
  </si>
  <si>
    <t>შრომის დანახარჯები</t>
  </si>
  <si>
    <t>კაც.სთ</t>
  </si>
  <si>
    <t>მან.სთ</t>
  </si>
  <si>
    <t>სხვა მანქანები</t>
  </si>
  <si>
    <t>ღორღი</t>
  </si>
  <si>
    <t>ტ</t>
  </si>
  <si>
    <r>
      <rPr>
        <b/>
        <sz val="10"/>
        <rFont val="AcadNusx"/>
      </rPr>
      <t>მ</t>
    </r>
    <r>
      <rPr>
        <b/>
        <vertAlign val="superscript"/>
        <sz val="10"/>
        <rFont val="AcadNusx"/>
      </rPr>
      <t>2</t>
    </r>
  </si>
  <si>
    <t>მანქანები</t>
  </si>
  <si>
    <t>ბალასტი</t>
  </si>
  <si>
    <t>სხვა მასალები</t>
  </si>
  <si>
    <t>შრომის დანახარჯი</t>
  </si>
  <si>
    <r>
      <rPr>
        <sz val="10"/>
        <rFont val="AcadNusx"/>
      </rP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-15</t>
    </r>
  </si>
  <si>
    <r>
      <rPr>
        <sz val="10"/>
        <rFont val="AcadNusx"/>
      </rPr>
      <t>მ</t>
    </r>
    <r>
      <rPr>
        <vertAlign val="superscript"/>
        <sz val="10"/>
        <rFont val="AcadNusx"/>
      </rPr>
      <t>2</t>
    </r>
  </si>
  <si>
    <t>ხის მასალა</t>
  </si>
  <si>
    <t>ელექტროდი</t>
  </si>
  <si>
    <t>კგ</t>
  </si>
  <si>
    <t>ჭანჭიკები</t>
  </si>
  <si>
    <r>
      <rPr>
        <sz val="10"/>
        <rFont val="AcadNusx"/>
      </rP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  <charset val="204"/>
      </rPr>
      <t>Φ8A-240</t>
    </r>
  </si>
  <si>
    <t>kac.sT</t>
  </si>
  <si>
    <t>ცალი</t>
  </si>
  <si>
    <t>სხვა  მანქანები</t>
  </si>
  <si>
    <t>man.sT</t>
  </si>
  <si>
    <t>სამონტაჟო სამარჯვების ფოლადის კონსტრუქციები</t>
  </si>
  <si>
    <t>მ</t>
  </si>
  <si>
    <t>lari</t>
  </si>
  <si>
    <t>ცემენტი</t>
  </si>
  <si>
    <t>ლითონის კონსტრუქციების შეღებვა ანტიკოროზიული საღებავით</t>
  </si>
  <si>
    <t>გამხსნელი</t>
  </si>
  <si>
    <t xml:space="preserve">შრომის დანახარჯები </t>
  </si>
  <si>
    <t>ჭერების მოწყობა ამსტრონგის ფილებისაგან</t>
  </si>
  <si>
    <t>ამსტრონგის ჭერი კომპლექტში</t>
  </si>
  <si>
    <t xml:space="preserve"> კედლების შელესვა ქვიშა-ცემენტის ხსნარით</t>
  </si>
  <si>
    <t>ქვიშა-ცემენტის ხსნარი 1:3</t>
  </si>
  <si>
    <t xml:space="preserve"> კედლების  შეღებვა</t>
  </si>
  <si>
    <t xml:space="preserve">საღებავი </t>
  </si>
  <si>
    <t>წებო-ცემენტი</t>
  </si>
  <si>
    <t>ქვიშა-ცემენტის ხსნარი m-150</t>
  </si>
  <si>
    <t>ნაკერების შემავსებელი</t>
  </si>
  <si>
    <t xml:space="preserve">ფასადის კედლების შეღებვა </t>
  </si>
  <si>
    <t>საგრუნტი</t>
  </si>
  <si>
    <t>ფითხი</t>
  </si>
  <si>
    <t>პირდაპირი დანახარჯების ჯამი</t>
  </si>
  <si>
    <t>ზედნადები ხარჯები</t>
  </si>
  <si>
    <t>10%</t>
  </si>
  <si>
    <t>8%</t>
  </si>
  <si>
    <t>გეგმიური დაგროვება</t>
  </si>
  <si>
    <t xml:space="preserve"> </t>
  </si>
  <si>
    <t>როზეტების მონტაჟი</t>
  </si>
  <si>
    <t>ჩამრთველების მონტაჟი</t>
  </si>
  <si>
    <t>ზოლოვანი სანათების მონტაჟი</t>
  </si>
  <si>
    <t>ზოლოვანი სანათი</t>
  </si>
  <si>
    <t>cali</t>
  </si>
  <si>
    <t>m</t>
  </si>
  <si>
    <t>მ.შ. სამშენებლო სამუშაოები</t>
  </si>
  <si>
    <t>კ-ტი</t>
  </si>
  <si>
    <r>
      <rPr>
        <sz val="10"/>
        <rFont val="AcadMtavr"/>
      </rPr>
      <t>დეკორატიული პანელი-</t>
    </r>
    <r>
      <rPr>
        <sz val="10"/>
        <rFont val="Calibri"/>
        <family val="2"/>
        <charset val="204"/>
        <scheme val="minor"/>
      </rPr>
      <t>FUNDERMAX-  0260-Arezzo-0244 Santos კომბინაციით-შესაბამისი</t>
    </r>
  </si>
  <si>
    <t>ფიბრობეტონის პანელი სისქით მინ 1.2 სმ</t>
  </si>
  <si>
    <r>
      <rPr>
        <b/>
        <sz val="10"/>
        <rFont val="AcadNusx"/>
      </rPr>
      <t xml:space="preserve">ფანჯრის ფერდების მოპირკეთება მდფ-ის ფილებით, </t>
    </r>
    <r>
      <rPr>
        <b/>
        <sz val="10"/>
        <rFont val="Arial"/>
        <family val="2"/>
        <charset val="204"/>
      </rPr>
      <t>RAL-6018 შესაბამისი</t>
    </r>
  </si>
  <si>
    <t>სვეტების დამუშავება და დაფარვა ბეტონის ლაქით</t>
  </si>
  <si>
    <t xml:space="preserve">Sromis danaxarjebi </t>
  </si>
  <si>
    <t>მილსადენი პლასტმასის მილებისაგან დ-20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</si>
  <si>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გ-20 მმ </t>
    </r>
  </si>
  <si>
    <t>ქურო        Ø20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</si>
  <si>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Ø20</t>
    </r>
  </si>
  <si>
    <t>სამკაპი      Ø20/20</t>
  </si>
  <si>
    <t>მილსადენი პლასტმასის მილებისაგან დ-25 მმ</t>
  </si>
  <si>
    <r>
      <rPr>
        <sz val="11"/>
        <rFont val="Calibri"/>
        <family val="2"/>
        <charset val="204"/>
        <scheme val="minor"/>
      </rPr>
      <t xml:space="preserve">პლასტმასის მილი PN16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</si>
  <si>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t>ქურო        Ø25</t>
  </si>
  <si>
    <r>
      <rPr>
        <sz val="10"/>
        <rFont val="Arial"/>
        <family val="2"/>
        <charset val="204"/>
      </rPr>
      <t>მუხლი  90</t>
    </r>
    <r>
      <rPr>
        <sz val="11"/>
        <rFont val="Calibri"/>
        <family val="2"/>
        <charset val="204"/>
      </rPr>
      <t>°         Ø25</t>
    </r>
  </si>
  <si>
    <t>გადამყვანი      Ø25/20</t>
  </si>
  <si>
    <t>შემრევი ონკანების მონტაჟი</t>
  </si>
  <si>
    <t>წყალგამაცხელებლის   მონტაჟი</t>
  </si>
  <si>
    <t>ვენტილების მონტაჟი დ-50 მმ-მდე</t>
  </si>
  <si>
    <t>jami</t>
  </si>
  <si>
    <t>მილსადენი პლასტმასის საკანალიზაციო მილებისაგან დ-50მმ</t>
  </si>
  <si>
    <t>პლასტმასის საკანალიზაციო მილები Ø50</t>
  </si>
  <si>
    <t>მუხლი საკანალიზაციო      Ø50-45°</t>
  </si>
  <si>
    <t>მუხლი საკანალიზაციო      Ø50-90°</t>
  </si>
  <si>
    <t>მილსადენი პლასტმასის საკანალიზაციო მილებისაგან დ-110 მმ</t>
  </si>
  <si>
    <t>k-ti</t>
  </si>
  <si>
    <t>უნიტაზების მონტაჟი</t>
  </si>
  <si>
    <t>მ²</t>
  </si>
  <si>
    <t>სამაგრები</t>
  </si>
  <si>
    <t>ფასადის კედლების შელესვა ქვიშა-ცემენტის ხსნარით</t>
  </si>
  <si>
    <t>ქვიშა</t>
  </si>
  <si>
    <r>
      <rPr>
        <sz val="10"/>
        <rFont val="AcadNusx"/>
      </rPr>
      <t xml:space="preserve"> m</t>
    </r>
    <r>
      <rPr>
        <vertAlign val="superscript"/>
        <sz val="10"/>
        <rFont val="AcadNusx"/>
      </rPr>
      <t>3</t>
    </r>
  </si>
  <si>
    <t>kac/sT</t>
  </si>
  <si>
    <t xml:space="preserve">ლითონის კონსტრუციების შეღებვა ანტიკოროზიული საღებავით  </t>
  </si>
  <si>
    <t>ბორდიურების მოწყობა</t>
  </si>
  <si>
    <t>gr/m</t>
  </si>
  <si>
    <t>ბეტონის ბორდიური 30X15X100</t>
  </si>
  <si>
    <t>სარწყავი მანქანა 6000ლ</t>
  </si>
  <si>
    <t>წყალი</t>
  </si>
  <si>
    <t>საყალიბე ფარი</t>
  </si>
  <si>
    <t>ორკომპონენტიანი პოლიურეთანის საფარი</t>
  </si>
  <si>
    <t>სარწყავი მანქანა 6000 ლ</t>
  </si>
  <si>
    <r>
      <t>მ</t>
    </r>
    <r>
      <rPr>
        <vertAlign val="superscript"/>
        <sz val="10"/>
        <rFont val="AcadNusx"/>
      </rPr>
      <t>2</t>
    </r>
  </si>
  <si>
    <r>
      <t>მ</t>
    </r>
    <r>
      <rPr>
        <vertAlign val="superscript"/>
        <sz val="10"/>
        <rFont val="AcadNusx"/>
      </rPr>
      <t>3</t>
    </r>
  </si>
  <si>
    <t>სამაგრები        Ø20</t>
  </si>
  <si>
    <t>სამაგრები        Ø25</t>
  </si>
  <si>
    <t>სამაგრების  ფოლადის  კონსტრუქციები</t>
  </si>
  <si>
    <r>
      <t>მ</t>
    </r>
    <r>
      <rPr>
        <b/>
        <vertAlign val="superscript"/>
        <sz val="10"/>
        <rFont val="AcadNusx"/>
      </rPr>
      <t>3</t>
    </r>
  </si>
  <si>
    <t>t</t>
  </si>
  <si>
    <t>ხელსაბნების  მონტაჟი</t>
  </si>
  <si>
    <r>
      <t>მ</t>
    </r>
    <r>
      <rPr>
        <b/>
        <vertAlign val="superscript"/>
        <sz val="10"/>
        <rFont val="AcadNusx"/>
      </rPr>
      <t>2</t>
    </r>
  </si>
  <si>
    <r>
      <t xml:space="preserve">ბეტონი </t>
    </r>
    <r>
      <rPr>
        <sz val="10"/>
        <rFont val="Arial"/>
        <family val="2"/>
        <charset val="204"/>
      </rPr>
      <t>B25</t>
    </r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</si>
  <si>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</si>
  <si>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</si>
  <si>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</si>
  <si>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r>
      <t>სამკაპი საკანალიზაციო       Ø50/50-90</t>
    </r>
    <r>
      <rPr>
        <vertAlign val="superscript"/>
        <sz val="10"/>
        <rFont val="Arial"/>
        <family val="2"/>
        <charset val="204"/>
      </rPr>
      <t>0</t>
    </r>
  </si>
  <si>
    <r>
      <t xml:space="preserve">პლასტმასის საკანალიზაციო მილები </t>
    </r>
    <r>
      <rPr>
        <sz val="10"/>
        <rFont val="Arial"/>
        <family val="2"/>
        <charset val="204"/>
      </rPr>
      <t>Ø110</t>
    </r>
  </si>
  <si>
    <r>
      <t>მუხლი      Ø110-90</t>
    </r>
    <r>
      <rPr>
        <vertAlign val="superscript"/>
        <sz val="10"/>
        <rFont val="Arial"/>
        <family val="2"/>
        <charset val="204"/>
      </rPr>
      <t>0</t>
    </r>
  </si>
  <si>
    <r>
      <t>მუხლი      Ø110-45</t>
    </r>
    <r>
      <rPr>
        <vertAlign val="superscript"/>
        <sz val="10"/>
        <rFont val="Arial"/>
        <family val="2"/>
        <charset val="204"/>
      </rPr>
      <t>0</t>
    </r>
  </si>
  <si>
    <r>
      <t xml:space="preserve">ბეტონი </t>
    </r>
    <r>
      <rPr>
        <sz val="10"/>
        <rFont val="Arial"/>
        <family val="2"/>
        <charset val="204"/>
      </rPr>
      <t>B</t>
    </r>
    <r>
      <rPr>
        <sz val="10"/>
        <rFont val="AcadNusx"/>
      </rPr>
      <t>-25</t>
    </r>
  </si>
  <si>
    <t>განზ.
ერთ.</t>
  </si>
  <si>
    <t xml:space="preserve">  </t>
  </si>
  <si>
    <t>თბილისი-2021 წ.</t>
  </si>
  <si>
    <t>,, გალფის"  ხუთი ავტოგასამართი სადგურის სარეკონსტრუქციო სამუშაოები</t>
  </si>
  <si>
    <t xml:space="preserve">    ცალკეულ სამუშაოთა  მატერიალური და შრომითი რესურსების რაოდენობის   დასადგენად  გამოყენებულია 1984 წლის სახარჯთაღრიცხვო ნორმატივები.. მასალების ღირებულება განსაზღვრულია სრფ 2021წ -IIkv da sabazro fasebis mixedviT.  ხარჯთაღრიცხვაში გათვალისწინებულია  ზედნადები ხარჯები -10%, საერთო სამშენებლო და  12% სანტექნიკურ სამუშაოებზე: 75% ხელფასიდან  ელექტროსამონტაჟო სამუშაოებზე: 65% ხელფასიდან -სუსტი დენების სამონტაჟო სამუშაოებზე: 68% ხელფასიდან დანადგარების მონტაჟზე; 72%ხელფასიდან ვიდეომეთვალყურეობის მონტაჟზე.  gegmiuri dagroveba -8%; rezervi gauTvaliswinebel samuSaoebze -5% da damatebiTi Rirebulebis gadasaxadi -18%.</t>
  </si>
  <si>
    <t>საობიექტო სახარჯთაღრიცხვო გაანგარიშება #4</t>
  </si>
  <si>
    <t>სახურავის  ბურულის  დემონტაჟი</t>
  </si>
  <si>
    <t>აგს-ის  ბაქანზე იატაკის მოჭიმვის მოხსნა</t>
  </si>
  <si>
    <t>ფარდულის შეკიდული ჭერის    დემონტაჟი</t>
  </si>
  <si>
    <t xml:space="preserve"> ვენტილი 1/2</t>
  </si>
  <si>
    <r>
      <t>სამკაპი საკანალიზაციო       Ø110/110-90</t>
    </r>
    <r>
      <rPr>
        <vertAlign val="superscript"/>
        <sz val="10"/>
        <rFont val="Arial"/>
        <family val="2"/>
        <charset val="204"/>
      </rPr>
      <t>0</t>
    </r>
  </si>
  <si>
    <t>ტერიტორიის  კეთილმოწყობა</t>
  </si>
  <si>
    <r>
      <t xml:space="preserve"> m</t>
    </r>
    <r>
      <rPr>
        <b/>
        <vertAlign val="superscript"/>
        <sz val="10"/>
        <rFont val="AcadNusx"/>
      </rPr>
      <t>2</t>
    </r>
  </si>
  <si>
    <t>avtogreideri 79 კვტ</t>
  </si>
  <si>
    <t>buldozeri 79კვტ</t>
  </si>
  <si>
    <t>satkepni 5t</t>
  </si>
  <si>
    <t>satkepni 10t</t>
  </si>
  <si>
    <t>RorRi</t>
  </si>
  <si>
    <t>თხევადი ბიტუმის დასხმა</t>
  </si>
  <si>
    <t>ავტოგუდრონატორი  3500ლ</t>
  </si>
  <si>
    <t>ბიტუმის ემულსია</t>
  </si>
  <si>
    <t>ასფალტობეტონის დამგები</t>
  </si>
  <si>
    <t>sxva manqanebi</t>
  </si>
  <si>
    <t>asfaltobetonis narevi msxvilmarcvlovani</t>
  </si>
  <si>
    <t>sxva masalebi</t>
  </si>
  <si>
    <t>asfaltobetonis narevi wvrilmarcvlovani</t>
  </si>
  <si>
    <t>ღორღის საფუძვლის მოწყობა ბაქნების ქვეშ</t>
  </si>
  <si>
    <r>
      <t xml:space="preserve">არმატურა </t>
    </r>
    <r>
      <rPr>
        <i/>
        <sz val="10"/>
        <rFont val="AcadNusx"/>
      </rPr>
      <t xml:space="preserve"> </t>
    </r>
    <r>
      <rPr>
        <i/>
        <sz val="10"/>
        <rFont val="Calibri"/>
        <family val="2"/>
      </rPr>
      <t>Φ10A-500</t>
    </r>
  </si>
  <si>
    <t xml:space="preserve"> ბეტონის საფარის ზედაპირების დაფარვა პოლიურეთანით</t>
  </si>
  <si>
    <t>ბეტონის საფარის  მოხეხვა</t>
  </si>
  <si>
    <t>ქვიშა  კვარცის</t>
  </si>
  <si>
    <t>რკინაბეტონის  ცოკოლის  მოწყობა</t>
  </si>
  <si>
    <t>საყალიბო ფარი (ლამინირებული  ფანერა)</t>
  </si>
  <si>
    <t>ლითონის  კონსტრუქციების მონტაჟი</t>
  </si>
  <si>
    <t>საოპერატორო</t>
  </si>
  <si>
    <t>ფარდული</t>
  </si>
  <si>
    <t>სარეზერვუარო პარკი</t>
  </si>
  <si>
    <t>ფარდულის სახურავის ბურულის     დემონტაჟი</t>
  </si>
  <si>
    <t xml:space="preserve">საწვავის აპარატების ბაქნის იატაკის მოწყობა ყინვაგამძლე კერამოგრანიტის ფილებით </t>
  </si>
  <si>
    <t xml:space="preserve"> შიგა კედლებზე ნალესის  მოხსნა</t>
  </si>
  <si>
    <t>ფასადის კედლებზე ნალესის  მოხსნა</t>
  </si>
  <si>
    <t>აგს-ის  ბაქანზე  იატაკის ფილების მოხსნა</t>
  </si>
  <si>
    <t>I.  სადემონტაჟო  სამუშაოები</t>
  </si>
  <si>
    <t>II. სამშენებლო  სამუშაოები</t>
  </si>
  <si>
    <t>სარეზერვუარო პარკის გარშემო ღობის დემონტაჟი</t>
  </si>
  <si>
    <t xml:space="preserve"> გრუნტის დამუშავება ხელით</t>
  </si>
  <si>
    <t xml:space="preserve">საძირკვლის ფილის მოწყობა მონოლითური რკინაბეტონით </t>
  </si>
  <si>
    <r>
      <t xml:space="preserve">არმატურა  </t>
    </r>
    <r>
      <rPr>
        <sz val="10"/>
        <rFont val="Calibri"/>
        <family val="2"/>
      </rPr>
      <t>Φ8A240c</t>
    </r>
  </si>
  <si>
    <r>
      <t xml:space="preserve">არმატურა </t>
    </r>
    <r>
      <rPr>
        <sz val="10"/>
        <rFont val="Calibri"/>
        <family val="2"/>
        <charset val="204"/>
      </rPr>
      <t>Ø</t>
    </r>
    <r>
      <rPr>
        <sz val="10"/>
        <rFont val="Calibri"/>
        <family val="2"/>
        <scheme val="minor"/>
      </rPr>
      <t>10A500c</t>
    </r>
  </si>
  <si>
    <t>1-3 ღერძზე  არსებული ფანჯრების (0.91X1.23მ;1.37X1.23მ) დემონტაჟი-2 ცალი</t>
  </si>
  <si>
    <t>1-3 ღერძზე  არსებული კარების (0.85X2მ) დემონტაჟი-1 ცალი</t>
  </si>
  <si>
    <t>სანკვანძის კარების (0.8X2.1მ) დემონტაჟი-1 ცალი</t>
  </si>
  <si>
    <t>საწყობის კარების (0.7X2.1მ) დემონტაჟი-1 ცალი</t>
  </si>
  <si>
    <t>ასფალტობეტონის საფარის დემონტაჟი</t>
  </si>
  <si>
    <t>ბეტონის საფარის დემონტაჟი</t>
  </si>
  <si>
    <t>შენობის წინ ფილების დემონტაჟი</t>
  </si>
  <si>
    <t xml:space="preserve">შავი ალუმინის ფანჯრების    მონტაჟი  </t>
  </si>
  <si>
    <t>1.37მ სიგანის  ღიობის გაგანიერება 1.6მ-მდე</t>
  </si>
  <si>
    <t xml:space="preserve">შავი ალუმინის კარების მონტაჟი  </t>
  </si>
  <si>
    <t>შავი ალუმინის კარები</t>
  </si>
  <si>
    <t xml:space="preserve">მდფ-ის  კარების მონტაჟი  -2 ცალი </t>
  </si>
  <si>
    <t>16 მმ2-მდე კაბელების გაყვანა</t>
  </si>
  <si>
    <t>გოფრირებული მილების მონტაჟი დ-25</t>
  </si>
  <si>
    <t>კაბელი სპილენძის ორმაგი იზოლაციით N2XH 3*2.5 მმ2</t>
  </si>
  <si>
    <t>საინსტალაციო გოფრირებული ჰალოგენისგან თავისუფალი მილი PVC d=25 mm</t>
  </si>
  <si>
    <t xml:space="preserve">საშტეფსელო როზეტი 16 ამპ. დამიწების კონტაქტით </t>
  </si>
  <si>
    <t xml:space="preserve">ორ ღილაკიანი ჩამრთველი </t>
  </si>
  <si>
    <t>ერთ ღილაკიანი ჩამრთველი</t>
  </si>
  <si>
    <t>ჩარჩო ერთიანი</t>
  </si>
  <si>
    <t>I სამშენებლო სამუშაოები</t>
  </si>
  <si>
    <r>
      <rPr>
        <b/>
        <sz val="10"/>
        <rFont val="AcadNusx"/>
      </rPr>
      <t xml:space="preserve"> მ</t>
    </r>
    <r>
      <rPr>
        <b/>
        <vertAlign val="superscript"/>
        <sz val="10"/>
        <rFont val="AcadNusx"/>
      </rPr>
      <t>3</t>
    </r>
  </si>
  <si>
    <t>სასიგნალო ლენტი</t>
  </si>
  <si>
    <t>გრუნტის დამუშავება ხელით, საკაბელო თხრილის მოსაწყობად</t>
  </si>
  <si>
    <t>სამონტაჟო  მასალა</t>
  </si>
  <si>
    <t xml:space="preserve">გამანაწილებელი კოლოფი </t>
  </si>
  <si>
    <t xml:space="preserve">საკომუტაციო კლემა სამ კონტაქტზე </t>
  </si>
  <si>
    <t xml:space="preserve">საკომუტაციო კლემა ხუთ კონტაქტზე </t>
  </si>
  <si>
    <t xml:space="preserve">საკომუტაციო კლემა რვა კონტაქტზე </t>
  </si>
  <si>
    <t>ორღილაკიანი ჩამრთველების მონტაჟი</t>
  </si>
  <si>
    <t>ლედ სანათი ჩაფლული მონტაჟის 12 ვატი</t>
  </si>
  <si>
    <t xml:space="preserve"> სანათების მონტაჟი</t>
  </si>
  <si>
    <t>სააპარატო კოლოფი</t>
  </si>
  <si>
    <t>ლოკალურ-რესურსული ხარჯთაღრიცხვა #4-4</t>
  </si>
  <si>
    <t>კაბელი სპილენძის ორმაგი იზოლაციით N2XH 5*2.5 მმ2</t>
  </si>
  <si>
    <t>დრეკადი მილი 1/2</t>
  </si>
  <si>
    <t>სამკაპი      Ø25/25</t>
  </si>
  <si>
    <t>ლოკალურ-რესურსული ხარჯთაღრიცხვა #4-2</t>
  </si>
  <si>
    <r>
      <t>სამკაპი საკანალიზაციო       Ø110/110/50-45</t>
    </r>
    <r>
      <rPr>
        <vertAlign val="superscript"/>
        <sz val="10"/>
        <rFont val="Arial"/>
        <family val="2"/>
        <charset val="204"/>
      </rPr>
      <t>0</t>
    </r>
  </si>
  <si>
    <r>
      <t>მუხლი      Ø100-90</t>
    </r>
    <r>
      <rPr>
        <vertAlign val="superscript"/>
        <sz val="10"/>
        <rFont val="Arial"/>
        <family val="2"/>
        <charset val="204"/>
      </rPr>
      <t>0</t>
    </r>
  </si>
  <si>
    <r>
      <t>სამკაპი        Ø100/100-90</t>
    </r>
    <r>
      <rPr>
        <vertAlign val="superscript"/>
        <sz val="10"/>
        <rFont val="Arial"/>
        <family val="2"/>
        <charset val="204"/>
      </rPr>
      <t>0</t>
    </r>
  </si>
  <si>
    <r>
      <t>მუხლი      Ø100-45</t>
    </r>
    <r>
      <rPr>
        <vertAlign val="superscript"/>
        <sz val="10"/>
        <rFont val="Arial"/>
        <family val="2"/>
        <charset val="204"/>
      </rPr>
      <t>0</t>
    </r>
  </si>
  <si>
    <t>კანალიზაცია</t>
  </si>
  <si>
    <t>წყალმომარაგება-კანალიზაციის სამუშაოები</t>
  </si>
  <si>
    <t>ვენტილაცია-კონდიცირების სამუშაოები</t>
  </si>
  <si>
    <t>სამაგრი დეტალები  კონდიციონერის გარე ბლოკის სამონტაჟო</t>
  </si>
  <si>
    <t>კონდიცირება</t>
  </si>
  <si>
    <t xml:space="preserve">სპლიტ კონდიციონერი (24000BTU) </t>
  </si>
  <si>
    <r>
      <t xml:space="preserve">სპლიტ კონდიციონერი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(</t>
    </r>
    <r>
      <rPr>
        <b/>
        <sz val="11"/>
        <rFont val="Calibri"/>
        <family val="2"/>
      </rPr>
      <t>24 000 BTU)</t>
    </r>
    <r>
      <rPr>
        <sz val="11"/>
        <rFont val="Calibri"/>
        <family val="2"/>
      </rPr>
      <t xml:space="preserve">
 გარე ბლოკებით</t>
    </r>
  </si>
  <si>
    <r>
      <t xml:space="preserve">სპილენძის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6.35მმ</t>
    </r>
  </si>
  <si>
    <r>
      <t xml:space="preserve">სპი;ენძის მილი  მილი  იზოლაციით   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</rPr>
      <t>12.7მმ</t>
    </r>
  </si>
  <si>
    <r>
      <t xml:space="preserve">გამწოვი ქოლგა 600X600 ვენტილატორით, </t>
    </r>
    <r>
      <rPr>
        <b/>
        <sz val="10"/>
        <rFont val="Arial"/>
        <family val="2"/>
        <charset val="204"/>
      </rPr>
      <t>L-300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</si>
  <si>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ქოლგა 600X600 ვენტილატორით, </t>
    </r>
    <r>
      <rPr>
        <sz val="10"/>
        <rFont val="Arial"/>
        <family val="2"/>
        <charset val="204"/>
      </rPr>
      <t>L-300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</si>
  <si>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b/>
        <sz val="10"/>
        <rFont val="Arial"/>
        <family val="2"/>
        <charset val="204"/>
      </rPr>
      <t>L-200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/h  წარმადობით და   DP80Pa წნევით</t>
    </r>
  </si>
  <si>
    <r>
      <t xml:space="preserve">გამწოვი  ვენტილატორი, </t>
    </r>
    <r>
      <rPr>
        <sz val="10"/>
        <rFont val="Arial"/>
        <family val="2"/>
        <charset val="204"/>
      </rPr>
      <t>L-200 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/h  წარმადობით და   DP80Pa წნევით</t>
    </r>
  </si>
  <si>
    <r>
      <rPr>
        <sz val="11"/>
        <rFont val="AcadNusx"/>
      </rPr>
      <t xml:space="preserve">ფულადის მოთუთიებული ჰაერსატარი </t>
    </r>
    <r>
      <rPr>
        <sz val="11"/>
        <rFont val="Acad m"/>
      </rPr>
      <t>d=0,55mm</t>
    </r>
  </si>
  <si>
    <t>დიფუზორების მონტაჟი დიამეტრით 150მმ</t>
  </si>
  <si>
    <t>სადრენაჟო მილსადენი პლასტმასის მილებისაგან დ-25 მმ</t>
  </si>
  <si>
    <t xml:space="preserve">  დიფუზორი  150მმ</t>
  </si>
  <si>
    <r>
      <t xml:space="preserve">პლასტმასის მილი  </t>
    </r>
    <r>
      <rPr>
        <sz val="11"/>
        <rFont val="Arial"/>
        <family val="2"/>
        <charset val="204"/>
      </rPr>
      <t>Ø</t>
    </r>
    <r>
      <rPr>
        <sz val="11"/>
        <rFont val="Avaza"/>
        <family val="2"/>
      </rPr>
      <t xml:space="preserve">გ-25 მმ </t>
    </r>
  </si>
  <si>
    <r>
      <t xml:space="preserve">ჰაერსადენების მონტაჟი </t>
    </r>
    <r>
      <rPr>
        <b/>
        <sz val="10"/>
        <rFont val="AcadNusx"/>
      </rPr>
      <t xml:space="preserve">დიამეტრით 150 </t>
    </r>
    <r>
      <rPr>
        <b/>
        <sz val="10"/>
        <rFont val="AcadMtavr"/>
      </rPr>
      <t>მმ-4მ</t>
    </r>
  </si>
  <si>
    <r>
      <t xml:space="preserve">cxaurაა </t>
    </r>
    <r>
      <rPr>
        <sz val="11"/>
        <rFont val="Calibri"/>
        <family val="2"/>
        <charset val="204"/>
      </rPr>
      <t>D150</t>
    </r>
  </si>
  <si>
    <t xml:space="preserve">ცხაურების (გისოსების) მონტაჟი </t>
  </si>
  <si>
    <r>
      <t>m</t>
    </r>
    <r>
      <rPr>
        <b/>
        <vertAlign val="superscript"/>
        <sz val="10"/>
        <rFont val="AcadNusx"/>
      </rPr>
      <t>3</t>
    </r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</si>
  <si>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10</t>
    </r>
    <r>
      <rPr>
        <sz val="10"/>
        <rFont val="Arial"/>
        <family val="2"/>
        <charset val="204"/>
      </rPr>
      <t>A500c</t>
    </r>
  </si>
  <si>
    <t>ბურულის მოწყობა პროფილირებული ფენილისაგან</t>
  </si>
  <si>
    <t>შველერი №20</t>
  </si>
  <si>
    <t>მილი პროფილური  40X3</t>
  </si>
  <si>
    <t>მილი დ-450X10</t>
  </si>
  <si>
    <t>ფოლადი ფურცლოვანი  12მმ</t>
  </si>
  <si>
    <t>ფარდულის ლითონკონსტრუქციის მონტაჟი</t>
  </si>
  <si>
    <t>მან.ცვლა</t>
  </si>
  <si>
    <t>ინვენტარული ხარაჩოების მოწყობა</t>
  </si>
  <si>
    <t>_</t>
  </si>
  <si>
    <t>ხარაჩოების ფოლადის დეტალები</t>
  </si>
  <si>
    <t>ხარაჩოების ხის დეტალები</t>
  </si>
  <si>
    <t>ფენილის ფარები</t>
  </si>
  <si>
    <r>
      <t xml:space="preserve">არმატურა  </t>
    </r>
    <r>
      <rPr>
        <sz val="10"/>
        <rFont val="Calibri"/>
        <family val="2"/>
      </rPr>
      <t>Φ6A240c</t>
    </r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</si>
  <si>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12</t>
    </r>
    <r>
      <rPr>
        <sz val="10"/>
        <rFont val="Arial"/>
        <family val="2"/>
        <charset val="204"/>
      </rPr>
      <t>A500c</t>
    </r>
  </si>
  <si>
    <t>ფოლადის ფურცელი 4მმ</t>
  </si>
  <si>
    <t>პროფილური მილი 50X50X3-</t>
  </si>
  <si>
    <t>პროფილური მილი 50X40X3-</t>
  </si>
  <si>
    <r>
      <t xml:space="preserve">არმატურა  </t>
    </r>
    <r>
      <rPr>
        <sz val="10"/>
        <rFont val="Calibri"/>
        <family val="2"/>
        <charset val="204"/>
      </rPr>
      <t>Φ</t>
    </r>
    <r>
      <rPr>
        <sz val="10"/>
        <rFont val="AcadNusx"/>
      </rPr>
      <t>16</t>
    </r>
    <r>
      <rPr>
        <sz val="10"/>
        <rFont val="Arial"/>
        <family val="2"/>
        <charset val="204"/>
      </rPr>
      <t>A500c</t>
    </r>
  </si>
  <si>
    <t>პოლიეთილენის ჰიდროსაიზოლაციო ფირი</t>
  </si>
  <si>
    <r>
      <t>მე-3 ჯგ. გრუნტის  დამუშავება 0.5 მ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ნიჩბიანი </t>
    </r>
    <r>
      <rPr>
        <b/>
        <vertAlign val="superscript"/>
        <sz val="1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>ექსკავატორით  ავტოთვითმცლელებზე დატვირთვით</t>
    </r>
  </si>
  <si>
    <r>
      <t>ექსკავატორი  ნიჩბის მოცულობით 0.5 მ</t>
    </r>
    <r>
      <rPr>
        <vertAlign val="superscript"/>
        <sz val="10"/>
        <rFont val="Arial"/>
        <family val="2"/>
        <charset val="204"/>
      </rPr>
      <t>3</t>
    </r>
  </si>
  <si>
    <t>საძირკვლის საფუძვლის მოწყობა  მდინარის ხვინჭით (ბალასტი), სისქით 20სმ</t>
  </si>
  <si>
    <t>საყალიბე  ფარი  (ლამინირებული ფანერა)</t>
  </si>
  <si>
    <t>ზოლოვანა 100X5</t>
  </si>
  <si>
    <t>ამწე მუხლუხა  25ტ</t>
  </si>
  <si>
    <t>ლითონის ჭა</t>
  </si>
  <si>
    <t>ახალი რეზერვუარების მონტაჟი-3 ცალი</t>
  </si>
  <si>
    <t>პროფილური მილი 200X100X3-</t>
  </si>
  <si>
    <t>ფოლადის ფურცელი 3მმ</t>
  </si>
  <si>
    <r>
      <t>ორტესებრი კოჭი I</t>
    </r>
    <r>
      <rPr>
        <sz val="10"/>
        <rFont val="Arial"/>
        <family val="2"/>
        <charset val="204"/>
      </rPr>
      <t>PE-A 220</t>
    </r>
  </si>
  <si>
    <t>ფოლადი ფურცლოვანი  10მმ</t>
  </si>
  <si>
    <t xml:space="preserve">ბეტონის საფარი  სისქით 25 სმ, </t>
  </si>
  <si>
    <t>სანგრევი ჩაქუჩები</t>
  </si>
  <si>
    <t>კომპრესორი</t>
  </si>
  <si>
    <t>უნიტაზის დემონტაჟი</t>
  </si>
  <si>
    <t>პირსაბნის დემონტაჟი</t>
  </si>
  <si>
    <t>ქვიშა-ცემენტის ხსნარი  1:2</t>
  </si>
  <si>
    <t xml:space="preserve"> საღებავი წყალემულსიური ფასადის</t>
  </si>
  <si>
    <t>შეკიდული ჭერის მოწყობა ალუმინის პანელებისაგან</t>
  </si>
  <si>
    <t>კერამოგრანიტის ფილა ყინვაგამძლე</t>
  </si>
  <si>
    <t xml:space="preserve">ბორდიურების  შეღებვა </t>
  </si>
  <si>
    <t xml:space="preserve">საფითხნი  </t>
  </si>
  <si>
    <t>ალუმინის პროფილის ვიტრაჟი, ჩარჩო  RAL 9005-ის შესაბამისი ფერის. მინაპაკეტი, ორმაგი ნაწრთობი 6მმ მინით</t>
  </si>
  <si>
    <t>ავტოგრეიდერი 79კვტ</t>
  </si>
  <si>
    <t>ბულდოზერი 79კვტ</t>
  </si>
  <si>
    <r>
      <t>ექსკავატორი მუხლუხა 0.65 მ</t>
    </r>
    <r>
      <rPr>
        <vertAlign val="superscript"/>
        <sz val="10"/>
        <rFont val="AcadNusx"/>
      </rPr>
      <t>3</t>
    </r>
  </si>
  <si>
    <t>არსებული სვეტების დემონტაჟი-2 ცალი</t>
  </si>
  <si>
    <t>ამწე მუხლუხა 25 ტ</t>
  </si>
  <si>
    <t>ბეტოპანის  ფილები 10მმ</t>
  </si>
  <si>
    <t xml:space="preserve"> ძირის  ჰიდროიზოლაცია პოლიეთილენის ფირით</t>
  </si>
  <si>
    <t>საწვავის აპარატებისიატაკის მოჭიმვა ქვიშა-ცემენტის ხსნარით სისქით 40მმ</t>
  </si>
  <si>
    <t>ღობის   მოპირკეთება  ბეტოპანის  ფილებით</t>
  </si>
  <si>
    <t>asfaltobetonis safaris qveS RorRovani safuZvlis mowyoba  sisqiT 12sm</t>
  </si>
  <si>
    <t>რეისი</t>
  </si>
  <si>
    <t>გალვანიზირებული პროფილირებული თუნუქი 0.7მმ</t>
  </si>
  <si>
    <t>შენობის გარშემო სარინელის მოჭიმვა ქვიშა-ცემენტის ხსნარით სისქით 40მმ</t>
  </si>
  <si>
    <t xml:space="preserve">შენობის გარშემო სარინელის  მოპირკეთება კერამოგრანიტის ფილებით </t>
  </si>
  <si>
    <t>წებო-ცემენტი ყინვაგამძლე</t>
  </si>
  <si>
    <t>სატრანსპორტო ხარჯები</t>
  </si>
  <si>
    <t>ნავთობდამჭერი ჭების მონტაჟი</t>
  </si>
  <si>
    <r>
      <t xml:space="preserve"> მ</t>
    </r>
    <r>
      <rPr>
        <b/>
        <vertAlign val="superscript"/>
        <sz val="10"/>
        <rFont val="AcadNusx"/>
      </rPr>
      <t>3</t>
    </r>
  </si>
  <si>
    <t>ექსკავატორი 0,25</t>
  </si>
  <si>
    <t>გრუნტის დამუშავება ხელით</t>
  </si>
  <si>
    <t>ქვიშის საფუძვლის მოწყობა</t>
  </si>
  <si>
    <r>
      <t xml:space="preserve"> m</t>
    </r>
    <r>
      <rPr>
        <vertAlign val="superscript"/>
        <sz val="10"/>
        <rFont val="AcadNusx"/>
      </rPr>
      <t>3</t>
    </r>
  </si>
  <si>
    <t>პენოპლასტი 25მმ</t>
  </si>
  <si>
    <t>შიგა წალმომარაგება და კანალიზაცია</t>
  </si>
  <si>
    <t>გარე  ქსელები</t>
  </si>
  <si>
    <t xml:space="preserve"> წყალკანალიზაციის გარე სამუშაოები</t>
  </si>
  <si>
    <t>ეზო</t>
  </si>
  <si>
    <t>აგს ,,ლიუბლიანა"</t>
  </si>
  <si>
    <t>ლრხ. #4-1</t>
  </si>
  <si>
    <t>ლრხ. #4-2</t>
  </si>
  <si>
    <t>ლრხ. #4-3</t>
  </si>
  <si>
    <t>ლრხ. #4-4</t>
  </si>
  <si>
    <t>ლრხ. #4-5</t>
  </si>
  <si>
    <t>ლრხ. #4-6</t>
  </si>
  <si>
    <t>ახალი ფარდულის ლითონის კონსტრუქციის მოწყობის სამუშაოები</t>
  </si>
  <si>
    <t>არსებული კოლონების შეფუთვა ალუმინით</t>
  </si>
  <si>
    <t xml:space="preserve">ლითონის ფურცელი 2მმ </t>
  </si>
  <si>
    <t>საღებავი  ლითონის  მაღალი ხარისხის</t>
  </si>
  <si>
    <t>ბაქნის გარშემო ლითონის ღარის  მოწყობა</t>
  </si>
  <si>
    <t>შველერი №12   -20მ</t>
  </si>
  <si>
    <t>ლითონის ცხაური-20მ</t>
  </si>
  <si>
    <t>ლითონის ფურცლის და ღარის ელემენტების  შეღებვა მაღალი ხარისხის საღებავით</t>
  </si>
  <si>
    <t>დემონტირებული  ნაკეთობების ტრანსპორტირება  ,,ეკო~-ს ბაზაში</t>
  </si>
  <si>
    <t>ავტოტრანსპორტი</t>
  </si>
  <si>
    <t>დამკვეთის შესრულება</t>
  </si>
  <si>
    <r>
      <t xml:space="preserve">რეზერვუარი  </t>
    </r>
    <r>
      <rPr>
        <sz val="10"/>
        <color rgb="FFFF0000"/>
        <rFont val="Arial"/>
        <family val="2"/>
        <charset val="204"/>
      </rPr>
      <t>(დამკვეთის  მოწოდება)</t>
    </r>
  </si>
  <si>
    <t>რეზერვუარების ყელებზე ლითონის ჭების მოწყობა  სახურავით-3 ცალი</t>
  </si>
  <si>
    <t>თუნუქის ფურცელი 0.7</t>
  </si>
  <si>
    <t xml:space="preserve">სამშენებლო ნაგავის გატანა ნაგავსაყრელზე </t>
  </si>
  <si>
    <t>ასფალტობეტონისა და ბეტონის საფარის ქვეშ არსებული  ხრეშის  საფუძვლების დემონტაჟი</t>
  </si>
  <si>
    <t>სამშენებლო ნაგვის დატვირთვა ავტოთვითმცლელებზე  დამტვირთველით</t>
  </si>
  <si>
    <t>დემონტირებული  ნაკეთობების დატვირთვა სატრანსპორტო საშუალებებზე  ხელით</t>
  </si>
  <si>
    <t>მაღაზიაში  კედლების მოპირკეთება აგურით</t>
  </si>
  <si>
    <t xml:space="preserve"> მანქანები</t>
  </si>
  <si>
    <t>გალფის საფირმო პანელების მონტაჟი</t>
  </si>
  <si>
    <t>შენობის გარშემო სარინელის ქვეშ ბეტონის არმირებული საფუძვლის მოწყობა სისქით 80მმ</t>
  </si>
  <si>
    <t>არმირების ბადე 6მმ</t>
  </si>
  <si>
    <t>asfaltobetonis safaris qveS ქვიშა-ხრეშოვანი  safuZvlis mowyoba  sisqiT 28sm</t>
  </si>
  <si>
    <t>მეხამრიდების დემონტაჟი</t>
  </si>
  <si>
    <t>გალფის საფირმო პანელების    დემონტაჟი</t>
  </si>
  <si>
    <t>ბაქნის გარშემო ლითონის ფურცლის შემოკვრა  18მ</t>
  </si>
  <si>
    <t>აქტიური მეხამრიდის მოწყობა</t>
  </si>
  <si>
    <t>სარეზერვუარო პარკის შევსება ღორღით  სისქით  20სმ</t>
  </si>
  <si>
    <t>სანკვანძის პლასტმასის ჭერისა და კედლების დემონტაჟი</t>
  </si>
  <si>
    <t>,, გალფის"   ავტოგასამართი სადგურის სარეკონსტრუქციო სამუშაოები</t>
  </si>
  <si>
    <t>დამტვირთველი</t>
  </si>
  <si>
    <t>ფარდულის კონსტრუქციის დემონტაჟი და გატანა</t>
  </si>
  <si>
    <t>ორი რეზერვუარის დემონტაჟი და გატანა-2 ცალი</t>
  </si>
  <si>
    <t>,, გალფის"   ავტოგასამართი სადგური  ,,ლიუბლიანა~-ს სარეკონსტრუქციო სამუშაოების</t>
  </si>
  <si>
    <t>დროებითი  ღობე და უსაფრთხოების სხვა ღონისძიებები 1.5%</t>
  </si>
  <si>
    <t>ლითონის ფურცელი 1მმ</t>
  </si>
  <si>
    <t>ხელსაბანის სიფონი</t>
  </si>
  <si>
    <t>უნიტაზის გოფრირებული მილი</t>
  </si>
  <si>
    <t>ვენტილი  1/2 90 გრადუსის</t>
  </si>
  <si>
    <r>
      <t xml:space="preserve">ნავთობის კასრი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>400  H400</t>
    </r>
  </si>
  <si>
    <t>სამკაპი 110/110/110</t>
  </si>
  <si>
    <r>
      <t>მე-III ჯგუფის გრუნტის დამუშავება 0.25მ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>-იანი ექსკავატორით, ნაყარში დატოვებით, შემდგომში  უკუჩაყრით</t>
    </r>
  </si>
  <si>
    <t xml:space="preserve">  იატაკის ფილების მოხსნა</t>
  </si>
  <si>
    <t>იატაკის მოჭიმვის მოხსნა</t>
  </si>
  <si>
    <t>მილსადენი პ/ე მილებისაგან დ-100 მმ</t>
  </si>
  <si>
    <r>
      <t xml:space="preserve">მილი პ/ე </t>
    </r>
    <r>
      <rPr>
        <sz val="11"/>
        <rFont val="Calibri"/>
        <family val="2"/>
        <charset val="204"/>
      </rPr>
      <t>Ø100</t>
    </r>
  </si>
  <si>
    <t>ფოლადის ფურცელი 6მმ</t>
  </si>
  <si>
    <t>ფილების ქვეშ მოჭიმვის მოხსნა</t>
  </si>
  <si>
    <r>
      <t>m</t>
    </r>
    <r>
      <rPr>
        <b/>
        <vertAlign val="superscript"/>
        <sz val="9"/>
        <color indexed="8"/>
        <rFont val="AcadNusx"/>
      </rPr>
      <t>2</t>
    </r>
  </si>
  <si>
    <t>tona</t>
  </si>
  <si>
    <r>
      <t>m</t>
    </r>
    <r>
      <rPr>
        <vertAlign val="superscript"/>
        <sz val="9"/>
        <color indexed="8"/>
        <rFont val="AcadNusx"/>
      </rPr>
      <t>3</t>
    </r>
  </si>
  <si>
    <t>წებო  პვა</t>
  </si>
  <si>
    <t>ფასადის კედლების ,,დაშხეფვა~ ქვიშა-ცემენტის ხსნარით</t>
  </si>
  <si>
    <t xml:space="preserve"> msxvilmarcvlovani asfaltobetonis safaris mowyoba (qveda fena 60mm)</t>
  </si>
  <si>
    <t xml:space="preserve"> wvrilmarcvlovani asfaltobetonis safaris mowyoba (zeda fena 40mm)</t>
  </si>
  <si>
    <t>ამსტრონგის ჭერის შეღებვა შავად</t>
  </si>
  <si>
    <t>საღებავი წყალემულსიური</t>
  </si>
  <si>
    <t>იატაკების მოჭიმვა ქვიშა-ცემენტის ხსნარით სისქით 40მმ</t>
  </si>
  <si>
    <t xml:space="preserve">იატაკების მოპირკეთება კერამოგრანიტის ფილებით </t>
  </si>
  <si>
    <t>აგური მოსაპირკეთებელი თელავის</t>
  </si>
  <si>
    <r>
      <t>ხელსაბნის შემრევი</t>
    </r>
    <r>
      <rPr>
        <sz val="10"/>
        <rFont val="Arial"/>
        <family val="2"/>
        <charset val="204"/>
      </rPr>
      <t xml:space="preserve"> Hansgrohe
Logis Loop 70 71150000</t>
    </r>
  </si>
  <si>
    <t>ელექტრო წყალტევადობითი გამაცხელებელი   Ariston - PRO1 R 80L</t>
  </si>
  <si>
    <r>
      <t xml:space="preserve">უნიტაზი  </t>
    </r>
    <r>
      <rPr>
        <sz val="11"/>
        <rFont val="Arial"/>
        <family val="2"/>
        <charset val="204"/>
      </rPr>
      <t>Vitra</t>
    </r>
  </si>
  <si>
    <r>
      <t xml:space="preserve">ხელსაბანი მოკლე ფეხით </t>
    </r>
    <r>
      <rPr>
        <sz val="10"/>
        <rFont val="Arial"/>
        <family val="2"/>
        <charset val="204"/>
      </rPr>
      <t>Vitra</t>
    </r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</si>
  <si>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Seranova CEMENT ANTRACIT 60X60)</t>
    </r>
  </si>
  <si>
    <r>
      <t xml:space="preserve">კერამოგრანიტის ფილა (ბრენდი: </t>
    </r>
    <r>
      <rPr>
        <sz val="10"/>
        <rFont val="Arial"/>
        <family val="2"/>
        <charset val="204"/>
      </rPr>
      <t>Nordic Gold GS-D3650/15X60)</t>
    </r>
  </si>
  <si>
    <t>მდფ-ის  კარები (0.80X2.1; 0.7X2.1მ-შპს ,,იფანი"</t>
  </si>
  <si>
    <t>თხრილში გრუნტის უკუჩაყრა ხელით</t>
  </si>
  <si>
    <t>სანკვანძის ჭერის მოწყობა ნესტგამძლე თაბაშირმუყაოს ფილებისაგან</t>
  </si>
  <si>
    <r>
      <t xml:space="preserve">კნაუფის ჭერის პროფილი @ C 27\60\27\0.6 \3000     </t>
    </r>
    <r>
      <rPr>
        <sz val="10"/>
        <rFont val="Arial"/>
        <family val="2"/>
        <charset val="204"/>
      </rPr>
      <t>KNAUF</t>
    </r>
  </si>
  <si>
    <t>კნაუფის ჭერის მიმმართველი პროფილი @ U 27\28\27\0.6 \3000  KNAUF</t>
  </si>
  <si>
    <t>რკინის დიუბელი</t>
  </si>
  <si>
    <t>მავთული ყულფით</t>
  </si>
  <si>
    <t>ანკერი სწრაფსაკიდი</t>
  </si>
  <si>
    <t>საიზოლაციო ლენტი პროფილებისათვის PE 100 25მ</t>
  </si>
  <si>
    <t xml:space="preserve">ნესტგამძლე  კნაუფის თაბაშირ–მუყაოს ფილა 2500*1200*12.5 </t>
  </si>
  <si>
    <t xml:space="preserve">შურუპი თვითმჭრელი ((TN) 3.5*25 </t>
  </si>
  <si>
    <t>ფითხი    Knauf Fugenfuller ან ( Knauf Uniflot)</t>
  </si>
  <si>
    <t>სანკვანძის თაბაშირმუყაოს ჭერის შეღებვა</t>
  </si>
  <si>
    <t xml:space="preserve"> სანკვანძის კედლების მოპიrკეთება კერამოგრანიტის ფილებით 2.8მ სიმაღლეზე</t>
  </si>
  <si>
    <r>
      <t>კერამოგრანიტის  ფილა</t>
    </r>
    <r>
      <rPr>
        <sz val="10"/>
        <rFont val="Arial"/>
        <family val="2"/>
        <charset val="204"/>
      </rPr>
      <t xml:space="preserve">  (ბრენდი:Seranova Rapsody White/30X60K)</t>
    </r>
  </si>
  <si>
    <t>ნაკერის შემავსებელი</t>
  </si>
  <si>
    <t>წყალsawreti milebis mowyoba</t>
  </si>
  <si>
    <t>SromiTi resursebi</t>
  </si>
  <si>
    <t>manqanebi</t>
  </si>
  <si>
    <t>წყალსაწრეტი ღარები  დ-120მმ</t>
  </si>
  <si>
    <t>ღარების შემაერთებელი</t>
  </si>
  <si>
    <t>წყალსაწრეტი მილები დ-100 მმ</t>
  </si>
  <si>
    <t>ქურო</t>
  </si>
  <si>
    <t>საცობი ღარის</t>
  </si>
  <si>
    <t>ძაბრი</t>
  </si>
  <si>
    <t>ლოკალურ-რესურსული ხარჯთაღრიცხვა #4-1</t>
  </si>
  <si>
    <t>ლოკალურ-რესურსული ხარჯთაღრიცხვა #4-3</t>
  </si>
  <si>
    <t>ლოკალურ-რესურსული ხარჯთაღრიცხვა #4-5</t>
  </si>
  <si>
    <t>ლოკალურ-რესურსული ხარჯთაღრიცხვა #4-6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</si>
</sst>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0.0"/>
    <numFmt numFmtId="168" formatCode="#,##0.0000_р_."/>
    <numFmt numFmtId="169" formatCode="#,##0.000_р_."/>
    <numFmt numFmtId="170" formatCode="0.0000"/>
    <numFmt numFmtId="171" formatCode="_-* #,##0.00\ &quot;€&quot;_-;\-* #,##0.00\ &quot;€&quot;_-;_-* &quot;-&quot;??\ &quot;€&quot;_-;_-@_-"/>
    <numFmt numFmtId="172" formatCode="_-* #,##0_-;\-* #,##0_-;_-* &quot;-&quot;??_-;_-@_-"/>
    <numFmt numFmtId="173" formatCode="_(* #,##0.000_);_(* \(#,##0.000\);_(* &quot;-&quot;??_);_(@_)"/>
    <numFmt numFmtId="174" formatCode="#,##0_р_."/>
    <numFmt numFmtId="175" formatCode="#,##0.000"/>
    <numFmt numFmtId="176" formatCode="#,##0.00_р_."/>
    <numFmt numFmtId="177" formatCode="0.0%"/>
    <numFmt numFmtId="178" formatCode="_(* #,##0.0000_);_(* \(#,##0.0000\);_(* &quot;-&quot;??_);_(@_)"/>
    <numFmt numFmtId="179" formatCode="_(* #,##0_);_(* \(#,##0\);_(* &quot;-&quot;??_);_(@_)"/>
  </numFmts>
  <fonts count="99">
    <font>
      <sz val="11"/>
      <color theme="1"/>
      <name val="Calibri"/>
      <charset val="134"/>
      <scheme val="minor"/>
    </font>
    <font>
      <sz val="10"/>
      <name val="Helv"/>
      <charset val="13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cadNusx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0"/>
      <color rgb="FFFF0000"/>
      <name val="Arial"/>
      <family val="2"/>
      <charset val="204"/>
    </font>
    <font>
      <b/>
      <sz val="12"/>
      <name val="AcadNusx"/>
    </font>
    <font>
      <b/>
      <sz val="14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cadNusx"/>
    </font>
    <font>
      <sz val="10"/>
      <name val="Arial Cyr"/>
      <charset val="204"/>
    </font>
    <font>
      <sz val="10"/>
      <name val="Calibri"/>
      <family val="2"/>
      <charset val="204"/>
    </font>
    <font>
      <sz val="11"/>
      <name val="Sylfaen"/>
      <family val="1"/>
      <charset val="204"/>
    </font>
    <font>
      <sz val="10"/>
      <color rgb="FFFF0000"/>
      <name val="AcadNusx"/>
    </font>
    <font>
      <sz val="11"/>
      <color rgb="FFFF0000"/>
      <name val="Calibri"/>
      <family val="2"/>
      <charset val="204"/>
      <scheme val="minor"/>
    </font>
    <font>
      <sz val="11"/>
      <color rgb="FFFF0000"/>
      <name val="AcadNusx"/>
    </font>
    <font>
      <b/>
      <sz val="11"/>
      <name val="Avaza Mtavruli"/>
      <family val="2"/>
    </font>
    <font>
      <sz val="11"/>
      <name val="Avaza Mtavruli"/>
      <family val="2"/>
    </font>
    <font>
      <sz val="10"/>
      <name val="Avaza Mtavruli"/>
      <family val="2"/>
    </font>
    <font>
      <sz val="14"/>
      <name val="AcadNusx"/>
    </font>
    <font>
      <b/>
      <sz val="10"/>
      <name val="Avaza Mtavruli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cadMtavr"/>
    </font>
    <font>
      <sz val="10"/>
      <color theme="1"/>
      <name val="AcadNusx"/>
    </font>
    <font>
      <i/>
      <sz val="10"/>
      <name val="AcadNusx"/>
    </font>
    <font>
      <sz val="12"/>
      <name val="AcadMtavr"/>
    </font>
    <font>
      <sz val="11"/>
      <color rgb="FFFF0000"/>
      <name val="Sylfaen"/>
      <family val="1"/>
      <charset val="204"/>
    </font>
    <font>
      <sz val="12"/>
      <name val="AcadNusx"/>
    </font>
    <font>
      <b/>
      <sz val="10"/>
      <name val="AcadMtavr"/>
    </font>
    <font>
      <sz val="11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0"/>
      <name val="AcadNusx"/>
    </font>
    <font>
      <b/>
      <sz val="11"/>
      <color rgb="FFFF0000"/>
      <name val="AcadNusx"/>
    </font>
    <font>
      <sz val="11"/>
      <color indexed="8"/>
      <name val="AcadNusx"/>
    </font>
    <font>
      <b/>
      <sz val="12"/>
      <color indexed="8"/>
      <name val="AcadNusx"/>
    </font>
    <font>
      <b/>
      <sz val="14"/>
      <color indexed="8"/>
      <name val="AcadNusx"/>
    </font>
    <font>
      <b/>
      <sz val="11"/>
      <color indexed="8"/>
      <name val="AcadNusx"/>
    </font>
    <font>
      <sz val="11"/>
      <color indexed="10"/>
      <name val="AcadNusx"/>
    </font>
    <font>
      <sz val="14"/>
      <color indexed="8"/>
      <name val="AcadNusx"/>
    </font>
    <font>
      <b/>
      <sz val="16"/>
      <color indexed="8"/>
      <name val="AcadNusx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134"/>
    </font>
    <font>
      <sz val="11"/>
      <name val="Times New Roman"/>
      <family val="1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i/>
      <sz val="10"/>
      <name val="Calibri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Avaz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002060"/>
      <name val="AcadNusx"/>
    </font>
    <font>
      <sz val="11"/>
      <color theme="1"/>
      <name val="Avaza Mtavruli"/>
      <family val="2"/>
    </font>
    <font>
      <sz val="11"/>
      <color theme="1"/>
      <name val="AcadNusx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cad m"/>
    </font>
    <font>
      <sz val="11"/>
      <name val="Arial"/>
      <family val="2"/>
    </font>
    <font>
      <b/>
      <sz val="9"/>
      <color theme="1"/>
      <name val="AcadNusx"/>
    </font>
    <font>
      <b/>
      <vertAlign val="superscript"/>
      <sz val="9"/>
      <color indexed="8"/>
      <name val="AcadNusx"/>
    </font>
    <font>
      <sz val="9"/>
      <color theme="1"/>
      <name val="Calibri"/>
      <family val="2"/>
      <scheme val="minor"/>
    </font>
    <font>
      <sz val="9"/>
      <color theme="1"/>
      <name val="AcadNusx"/>
    </font>
    <font>
      <vertAlign val="superscript"/>
      <sz val="9"/>
      <color indexed="8"/>
      <name val="AcadNusx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43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/>
    <xf numFmtId="0" fontId="56" fillId="0" borderId="0"/>
    <xf numFmtId="44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6" fillId="0" borderId="0"/>
    <xf numFmtId="172" fontId="58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56" fillId="0" borderId="0"/>
    <xf numFmtId="0" fontId="14" fillId="0" borderId="0"/>
    <xf numFmtId="0" fontId="56" fillId="0" borderId="0"/>
    <xf numFmtId="0" fontId="1" fillId="0" borderId="0"/>
    <xf numFmtId="0" fontId="56" fillId="0" borderId="0"/>
    <xf numFmtId="0" fontId="10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63" fillId="0" borderId="0"/>
    <xf numFmtId="0" fontId="56" fillId="0" borderId="0"/>
    <xf numFmtId="0" fontId="10" fillId="0" borderId="0"/>
    <xf numFmtId="0" fontId="60" fillId="0" borderId="0"/>
    <xf numFmtId="0" fontId="56" fillId="0" borderId="0"/>
    <xf numFmtId="0" fontId="56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14" fillId="0" borderId="0"/>
    <xf numFmtId="0" fontId="56" fillId="0" borderId="0"/>
    <xf numFmtId="0" fontId="6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65" fillId="0" borderId="0"/>
    <xf numFmtId="0" fontId="58" fillId="0" borderId="0"/>
    <xf numFmtId="0" fontId="66" fillId="0" borderId="0"/>
    <xf numFmtId="9" fontId="14" fillId="0" borderId="0" applyFont="0" applyFill="0" applyBorder="0" applyAlignment="0" applyProtection="0"/>
    <xf numFmtId="0" fontId="1" fillId="0" borderId="0"/>
    <xf numFmtId="0" fontId="57" fillId="0" borderId="0"/>
    <xf numFmtId="0" fontId="14" fillId="0" borderId="0"/>
    <xf numFmtId="0" fontId="59" fillId="0" borderId="0"/>
    <xf numFmtId="0" fontId="23" fillId="0" borderId="0"/>
    <xf numFmtId="0" fontId="10" fillId="0" borderId="0"/>
    <xf numFmtId="0" fontId="75" fillId="0" borderId="0"/>
    <xf numFmtId="0" fontId="10" fillId="0" borderId="0"/>
  </cellStyleXfs>
  <cellXfs count="1215">
    <xf numFmtId="0" fontId="0" fillId="0" borderId="0" xfId="0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5" fillId="2" borderId="1" xfId="38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4" fillId="2" borderId="0" xfId="25" applyFont="1" applyFill="1" applyAlignment="1">
      <alignment horizontal="left"/>
    </xf>
    <xf numFmtId="0" fontId="2" fillId="2" borderId="0" xfId="25" applyFont="1" applyFill="1"/>
    <xf numFmtId="0" fontId="7" fillId="2" borderId="0" xfId="38" applyFont="1" applyFill="1" applyAlignment="1">
      <alignment horizontal="center" wrapText="1"/>
    </xf>
    <xf numFmtId="0" fontId="7" fillId="2" borderId="0" xfId="38" applyFont="1" applyFill="1" applyAlignment="1">
      <alignment wrapText="1"/>
    </xf>
    <xf numFmtId="0" fontId="14" fillId="2" borderId="0" xfId="25" applyFont="1" applyFill="1"/>
    <xf numFmtId="0" fontId="41" fillId="2" borderId="0" xfId="38" applyFont="1" applyFill="1" applyAlignment="1">
      <alignment horizontal="left" wrapText="1"/>
    </xf>
    <xf numFmtId="175" fontId="7" fillId="2" borderId="0" xfId="38" applyNumberFormat="1" applyFont="1" applyFill="1" applyBorder="1" applyAlignment="1">
      <alignment horizontal="center" wrapText="1"/>
    </xf>
    <xf numFmtId="2" fontId="7" fillId="2" borderId="0" xfId="38" applyNumberFormat="1" applyFont="1" applyFill="1" applyBorder="1" applyAlignment="1">
      <alignment horizontal="center" wrapText="1"/>
    </xf>
    <xf numFmtId="0" fontId="7" fillId="2" borderId="12" xfId="38" applyFont="1" applyFill="1" applyBorder="1" applyAlignment="1">
      <alignment horizontal="right" wrapText="1"/>
    </xf>
    <xf numFmtId="166" fontId="7" fillId="2" borderId="12" xfId="38" applyNumberFormat="1" applyFont="1" applyFill="1" applyBorder="1" applyAlignment="1">
      <alignment horizontal="center" wrapText="1"/>
    </xf>
    <xf numFmtId="2" fontId="7" fillId="2" borderId="12" xfId="38" applyNumberFormat="1" applyFont="1" applyFill="1" applyBorder="1" applyAlignment="1">
      <alignment horizontal="center" wrapText="1"/>
    </xf>
    <xf numFmtId="0" fontId="7" fillId="2" borderId="5" xfId="38" applyFont="1" applyFill="1" applyBorder="1" applyAlignment="1">
      <alignment horizontal="center" wrapText="1"/>
    </xf>
    <xf numFmtId="0" fontId="7" fillId="2" borderId="1" xfId="38" applyFont="1" applyFill="1" applyBorder="1" applyAlignment="1">
      <alignment horizontal="center" wrapText="1"/>
    </xf>
    <xf numFmtId="0" fontId="7" fillId="2" borderId="6" xfId="38" applyFont="1" applyFill="1" applyBorder="1" applyAlignment="1">
      <alignment horizontal="center" wrapText="1"/>
    </xf>
    <xf numFmtId="0" fontId="11" fillId="2" borderId="1" xfId="34" applyFont="1" applyFill="1" applyBorder="1" applyAlignment="1">
      <alignment horizontal="left" vertical="center" wrapText="1"/>
    </xf>
    <xf numFmtId="4" fontId="7" fillId="2" borderId="1" xfId="38" applyNumberFormat="1" applyFont="1" applyFill="1" applyBorder="1" applyAlignment="1">
      <alignment horizontal="center" vertical="center"/>
    </xf>
    <xf numFmtId="4" fontId="7" fillId="2" borderId="1" xfId="38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/>
    <xf numFmtId="0" fontId="2" fillId="0" borderId="0" xfId="34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2" fontId="14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2" fontId="15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55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2" borderId="0" xfId="38" applyFont="1" applyFill="1" applyAlignment="1">
      <alignment vertical="center"/>
    </xf>
    <xf numFmtId="0" fontId="14" fillId="2" borderId="0" xfId="35" applyFont="1" applyFill="1" applyAlignment="1">
      <alignment vertical="center"/>
    </xf>
    <xf numFmtId="0" fontId="11" fillId="2" borderId="6" xfId="34" applyFont="1" applyFill="1" applyBorder="1" applyAlignment="1">
      <alignment horizontal="left" vertical="center" wrapText="1"/>
    </xf>
    <xf numFmtId="0" fontId="15" fillId="2" borderId="1" xfId="38" applyFont="1" applyFill="1" applyBorder="1" applyAlignment="1">
      <alignment vertical="center" wrapText="1"/>
    </xf>
    <xf numFmtId="4" fontId="15" fillId="2" borderId="1" xfId="38" applyNumberFormat="1" applyFont="1" applyFill="1" applyBorder="1" applyAlignment="1">
      <alignment horizontal="center" vertical="center" wrapText="1"/>
    </xf>
    <xf numFmtId="0" fontId="22" fillId="2" borderId="0" xfId="63" applyFont="1" applyFill="1" applyBorder="1"/>
    <xf numFmtId="0" fontId="22" fillId="2" borderId="0" xfId="63" applyFont="1" applyFill="1"/>
    <xf numFmtId="0" fontId="49" fillId="0" borderId="0" xfId="32" applyFont="1" applyAlignment="1">
      <alignment vertical="center"/>
    </xf>
    <xf numFmtId="0" fontId="51" fillId="0" borderId="0" xfId="32" applyFont="1" applyAlignment="1">
      <alignment horizontal="center" vertical="center"/>
    </xf>
    <xf numFmtId="0" fontId="50" fillId="0" borderId="0" xfId="32" applyFont="1" applyAlignment="1">
      <alignment horizontal="center" vertical="center"/>
    </xf>
    <xf numFmtId="4" fontId="52" fillId="0" borderId="0" xfId="32" applyNumberFormat="1" applyFont="1" applyAlignment="1">
      <alignment horizontal="center" vertical="center"/>
    </xf>
    <xf numFmtId="0" fontId="50" fillId="0" borderId="0" xfId="32" applyFont="1" applyAlignment="1">
      <alignment vertical="center"/>
    </xf>
    <xf numFmtId="0" fontId="51" fillId="0" borderId="0" xfId="32" applyFont="1" applyAlignment="1">
      <alignment vertical="center"/>
    </xf>
    <xf numFmtId="0" fontId="28" fillId="0" borderId="0" xfId="32" applyFont="1" applyAlignment="1">
      <alignment vertical="center" wrapText="1"/>
    </xf>
    <xf numFmtId="167" fontId="53" fillId="0" borderId="0" xfId="32" applyNumberFormat="1" applyFont="1" applyAlignment="1">
      <alignment vertical="center"/>
    </xf>
    <xf numFmtId="0" fontId="49" fillId="0" borderId="0" xfId="64" applyFont="1" applyAlignment="1">
      <alignment vertical="center"/>
    </xf>
    <xf numFmtId="0" fontId="49" fillId="0" borderId="0" xfId="64" applyFont="1" applyAlignment="1">
      <alignment horizontal="center" vertical="center"/>
    </xf>
    <xf numFmtId="0" fontId="55" fillId="0" borderId="0" xfId="64" applyFont="1" applyAlignment="1">
      <alignment horizontal="center" vertical="center"/>
    </xf>
    <xf numFmtId="0" fontId="73" fillId="2" borderId="0" xfId="0" applyFont="1" applyFill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33" applyFont="1" applyFill="1" applyBorder="1" applyAlignment="1">
      <alignment horizontal="left" vertical="center" wrapText="1"/>
    </xf>
    <xf numFmtId="0" fontId="43" fillId="0" borderId="1" xfId="0" applyFont="1" applyFill="1" applyBorder="1"/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67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15" fillId="0" borderId="1" xfId="35" applyFont="1" applyFill="1" applyBorder="1" applyAlignment="1">
      <alignment horizontal="center"/>
    </xf>
    <xf numFmtId="0" fontId="7" fillId="0" borderId="1" xfId="63" applyFont="1" applyFill="1" applyBorder="1" applyAlignment="1">
      <alignment horizontal="center" vertical="center"/>
    </xf>
    <xf numFmtId="4" fontId="7" fillId="0" borderId="1" xfId="63" applyNumberFormat="1" applyFont="1" applyFill="1" applyBorder="1" applyAlignment="1">
      <alignment horizontal="center" vertical="center" wrapText="1"/>
    </xf>
    <xf numFmtId="4" fontId="15" fillId="0" borderId="1" xfId="63" applyNumberFormat="1" applyFont="1" applyFill="1" applyBorder="1" applyAlignment="1">
      <alignment horizontal="center" vertical="center" wrapText="1"/>
    </xf>
    <xf numFmtId="4" fontId="15" fillId="0" borderId="1" xfId="63" applyNumberFormat="1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left" vertical="center" wrapText="1"/>
    </xf>
    <xf numFmtId="0" fontId="1" fillId="0" borderId="1" xfId="27" applyFont="1" applyFill="1" applyBorder="1" applyAlignment="1">
      <alignment wrapText="1"/>
    </xf>
    <xf numFmtId="0" fontId="7" fillId="0" borderId="1" xfId="6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33" applyFont="1" applyFill="1" applyBorder="1" applyAlignment="1">
      <alignment vertical="center" wrapText="1"/>
    </xf>
    <xf numFmtId="0" fontId="7" fillId="0" borderId="1" xfId="33" applyFont="1" applyFill="1" applyBorder="1" applyAlignment="1">
      <alignment horizontal="center" vertical="center" wrapText="1"/>
    </xf>
    <xf numFmtId="0" fontId="7" fillId="0" borderId="1" xfId="33" applyNumberFormat="1" applyFont="1" applyFill="1" applyBorder="1" applyAlignment="1">
      <alignment horizontal="center" vertical="center" wrapText="1"/>
    </xf>
    <xf numFmtId="166" fontId="7" fillId="0" borderId="1" xfId="33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15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1" xfId="33" applyNumberFormat="1" applyFont="1" applyFill="1" applyBorder="1" applyAlignment="1">
      <alignment horizontal="center" vertical="center"/>
    </xf>
    <xf numFmtId="166" fontId="7" fillId="0" borderId="1" xfId="33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0" fontId="15" fillId="0" borderId="1" xfId="25" applyFont="1" applyFill="1" applyBorder="1" applyAlignment="1">
      <alignment horizontal="center" vertical="center" wrapText="1"/>
    </xf>
    <xf numFmtId="2" fontId="7" fillId="0" borderId="1" xfId="25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23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vertical="center"/>
    </xf>
    <xf numFmtId="0" fontId="7" fillId="0" borderId="1" xfId="33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/>
    </xf>
    <xf numFmtId="166" fontId="7" fillId="0" borderId="1" xfId="55" applyNumberFormat="1" applyFont="1" applyFill="1" applyBorder="1" applyAlignment="1">
      <alignment horizontal="center" vertical="center" wrapText="1"/>
    </xf>
    <xf numFmtId="2" fontId="7" fillId="0" borderId="1" xfId="55" applyNumberFormat="1" applyFont="1" applyFill="1" applyBorder="1" applyAlignment="1">
      <alignment vertical="center"/>
    </xf>
    <xf numFmtId="166" fontId="7" fillId="0" borderId="1" xfId="55" applyNumberFormat="1" applyFont="1" applyFill="1" applyBorder="1" applyAlignment="1">
      <alignment vertical="center"/>
    </xf>
    <xf numFmtId="0" fontId="7" fillId="0" borderId="1" xfId="55" applyNumberFormat="1" applyFont="1" applyFill="1" applyBorder="1" applyAlignment="1">
      <alignment horizontal="center" vertical="center"/>
    </xf>
    <xf numFmtId="166" fontId="7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>
      <alignment vertical="center" wrapText="1"/>
    </xf>
    <xf numFmtId="0" fontId="7" fillId="0" borderId="1" xfId="2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vertical="center" wrapText="1"/>
    </xf>
    <xf numFmtId="0" fontId="10" fillId="0" borderId="1" xfId="33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166" fontId="6" fillId="0" borderId="1" xfId="0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35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7" fillId="0" borderId="0" xfId="0" applyFont="1" applyFill="1"/>
    <xf numFmtId="0" fontId="1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2" fontId="10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46" applyFont="1" applyFill="1" applyBorder="1" applyAlignment="1">
      <alignment horizontal="center" vertical="center" wrapText="1"/>
    </xf>
    <xf numFmtId="2" fontId="7" fillId="0" borderId="1" xfId="35" applyNumberFormat="1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left" vertical="center" wrapText="1"/>
    </xf>
    <xf numFmtId="0" fontId="7" fillId="0" borderId="1" xfId="35" applyFont="1" applyFill="1" applyBorder="1" applyAlignment="1">
      <alignment horizontal="center"/>
    </xf>
    <xf numFmtId="2" fontId="7" fillId="0" borderId="1" xfId="35" applyNumberFormat="1" applyFont="1" applyFill="1" applyBorder="1" applyAlignment="1">
      <alignment horizontal="center"/>
    </xf>
    <xf numFmtId="0" fontId="46" fillId="0" borderId="1" xfId="0" applyFont="1" applyFill="1" applyBorder="1"/>
    <xf numFmtId="0" fontId="10" fillId="0" borderId="1" xfId="0" applyFont="1" applyFill="1" applyBorder="1"/>
    <xf numFmtId="0" fontId="31" fillId="0" borderId="1" xfId="0" applyFont="1" applyFill="1" applyBorder="1" applyAlignment="1">
      <alignment horizontal="center" vertical="center"/>
    </xf>
    <xf numFmtId="0" fontId="7" fillId="0" borderId="1" xfId="23" applyFont="1" applyFill="1" applyBorder="1" applyAlignment="1">
      <alignment horizontal="center" vertical="center" wrapText="1"/>
    </xf>
    <xf numFmtId="2" fontId="7" fillId="0" borderId="1" xfId="23" applyNumberFormat="1" applyFont="1" applyFill="1" applyBorder="1" applyAlignment="1">
      <alignment horizontal="center" vertical="center" wrapText="1"/>
    </xf>
    <xf numFmtId="0" fontId="7" fillId="0" borderId="1" xfId="36" applyFont="1" applyFill="1" applyBorder="1" applyAlignment="1">
      <alignment horizontal="center" vertical="center"/>
    </xf>
    <xf numFmtId="0" fontId="7" fillId="0" borderId="1" xfId="25" applyFont="1" applyFill="1" applyBorder="1" applyAlignment="1">
      <alignment vertical="center"/>
    </xf>
    <xf numFmtId="0" fontId="7" fillId="0" borderId="1" xfId="25" applyFont="1" applyFill="1" applyBorder="1" applyAlignment="1">
      <alignment horizontal="center" vertical="center"/>
    </xf>
    <xf numFmtId="170" fontId="7" fillId="0" borderId="1" xfId="3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1" xfId="35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5" fillId="0" borderId="0" xfId="0" applyFont="1" applyFill="1"/>
    <xf numFmtId="0" fontId="1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43" fontId="11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2" fontId="7" fillId="0" borderId="1" xfId="23" applyNumberFormat="1" applyFont="1" applyFill="1" applyBorder="1" applyAlignment="1">
      <alignment horizontal="center" vertical="center"/>
    </xf>
    <xf numFmtId="0" fontId="7" fillId="0" borderId="5" xfId="23" applyFont="1" applyFill="1" applyBorder="1" applyAlignment="1">
      <alignment horizontal="center" vertical="center"/>
    </xf>
    <xf numFmtId="0" fontId="7" fillId="0" borderId="9" xfId="23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6" fontId="10" fillId="0" borderId="0" xfId="0" applyNumberFormat="1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7" fillId="0" borderId="0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14" fillId="0" borderId="0" xfId="1" applyFont="1" applyFill="1" applyBorder="1" applyAlignment="1">
      <alignment vertical="center" wrapText="1"/>
    </xf>
    <xf numFmtId="43" fontId="14" fillId="0" borderId="0" xfId="1" applyFont="1" applyFill="1" applyAlignment="1">
      <alignment vertical="center" wrapText="1"/>
    </xf>
    <xf numFmtId="43" fontId="7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0" xfId="1" applyFont="1" applyFill="1" applyAlignment="1">
      <alignment vertical="center" wrapText="1"/>
    </xf>
    <xf numFmtId="43" fontId="10" fillId="0" borderId="12" xfId="1" applyFont="1" applyFill="1" applyBorder="1" applyAlignment="1">
      <alignment vertical="center" wrapText="1"/>
    </xf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Alignment="1">
      <alignment vertical="center" wrapText="1"/>
    </xf>
    <xf numFmtId="43" fontId="7" fillId="0" borderId="0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55" applyFont="1" applyFill="1" applyAlignment="1">
      <alignment vertical="center"/>
    </xf>
    <xf numFmtId="0" fontId="14" fillId="0" borderId="0" xfId="5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38" applyFont="1" applyFill="1" applyAlignment="1">
      <alignment vertical="center"/>
    </xf>
    <xf numFmtId="0" fontId="14" fillId="0" borderId="0" xfId="35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34" applyFont="1" applyFill="1" applyAlignment="1">
      <alignment horizontal="center" vertical="center" wrapText="1"/>
    </xf>
    <xf numFmtId="0" fontId="45" fillId="0" borderId="0" xfId="0" applyFont="1" applyFill="1"/>
    <xf numFmtId="0" fontId="11" fillId="0" borderId="0" xfId="34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7" fillId="0" borderId="0" xfId="38" applyFont="1" applyFill="1" applyAlignment="1">
      <alignment wrapText="1"/>
    </xf>
    <xf numFmtId="0" fontId="7" fillId="0" borderId="1" xfId="38" applyFont="1" applyFill="1" applyBorder="1" applyAlignment="1">
      <alignment horizontal="center" wrapText="1"/>
    </xf>
    <xf numFmtId="0" fontId="15" fillId="0" borderId="1" xfId="38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4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5" fillId="3" borderId="1" xfId="33" applyFont="1" applyFill="1" applyBorder="1" applyAlignment="1">
      <alignment vertical="center" wrapText="1"/>
    </xf>
    <xf numFmtId="0" fontId="15" fillId="3" borderId="1" xfId="33" applyNumberFormat="1" applyFont="1" applyFill="1" applyBorder="1" applyAlignment="1">
      <alignment horizontal="center" vertical="center" wrapText="1"/>
    </xf>
    <xf numFmtId="166" fontId="15" fillId="3" borderId="1" xfId="33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49" fontId="15" fillId="3" borderId="1" xfId="0" applyNumberFormat="1" applyFont="1" applyFill="1" applyBorder="1" applyAlignment="1">
      <alignment vertical="center" wrapText="1"/>
    </xf>
    <xf numFmtId="0" fontId="15" fillId="3" borderId="1" xfId="35" applyFont="1" applyFill="1" applyBorder="1" applyAlignment="1">
      <alignment horizontal="center" vertical="center"/>
    </xf>
    <xf numFmtId="0" fontId="15" fillId="3" borderId="1" xfId="35" applyFont="1" applyFill="1" applyBorder="1" applyAlignment="1">
      <alignment horizontal="left" vertical="center" wrapText="1"/>
    </xf>
    <xf numFmtId="0" fontId="15" fillId="3" borderId="1" xfId="35" applyFont="1" applyFill="1" applyBorder="1" applyAlignment="1">
      <alignment horizontal="center" vertical="center" wrapText="1"/>
    </xf>
    <xf numFmtId="2" fontId="15" fillId="3" borderId="1" xfId="35" applyNumberFormat="1" applyFont="1" applyFill="1" applyBorder="1" applyAlignment="1">
      <alignment horizontal="center" vertical="center"/>
    </xf>
    <xf numFmtId="2" fontId="15" fillId="3" borderId="1" xfId="35" applyNumberFormat="1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 wrapText="1"/>
    </xf>
    <xf numFmtId="2" fontId="7" fillId="3" borderId="1" xfId="23" applyNumberFormat="1" applyFont="1" applyFill="1" applyBorder="1" applyAlignment="1">
      <alignment horizontal="center" vertical="center" wrapText="1"/>
    </xf>
    <xf numFmtId="0" fontId="15" fillId="3" borderId="1" xfId="35" applyFont="1" applyFill="1" applyBorder="1" applyAlignment="1">
      <alignment horizontal="center"/>
    </xf>
    <xf numFmtId="43" fontId="15" fillId="3" borderId="1" xfId="1" applyFont="1" applyFill="1" applyBorder="1" applyAlignment="1">
      <alignment horizontal="center" vertical="center" wrapText="1"/>
    </xf>
    <xf numFmtId="0" fontId="2" fillId="3" borderId="1" xfId="34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35" fillId="3" borderId="1" xfId="0" applyNumberFormat="1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1" fontId="2" fillId="3" borderId="1" xfId="34" applyNumberFormat="1" applyFont="1" applyFill="1" applyBorder="1" applyAlignment="1">
      <alignment horizontal="center" vertical="center"/>
    </xf>
    <xf numFmtId="43" fontId="15" fillId="3" borderId="1" xfId="1" applyFont="1" applyFill="1" applyBorder="1" applyAlignment="1">
      <alignment horizontal="center"/>
    </xf>
    <xf numFmtId="2" fontId="15" fillId="3" borderId="1" xfId="34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3" fontId="15" fillId="4" borderId="7" xfId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19" fillId="0" borderId="1" xfId="33" applyFont="1" applyFill="1" applyBorder="1" applyAlignment="1">
      <alignment horizontal="center" vertical="center" wrapText="1"/>
    </xf>
    <xf numFmtId="0" fontId="15" fillId="3" borderId="5" xfId="23" applyFont="1" applyFill="1" applyBorder="1" applyAlignment="1">
      <alignment horizontal="center" vertical="center"/>
    </xf>
    <xf numFmtId="0" fontId="15" fillId="3" borderId="1" xfId="23" applyFont="1" applyFill="1" applyBorder="1" applyAlignment="1">
      <alignment horizontal="center" vertical="center"/>
    </xf>
    <xf numFmtId="0" fontId="15" fillId="3" borderId="1" xfId="23" applyFont="1" applyFill="1" applyBorder="1" applyAlignment="1">
      <alignment horizontal="left" vertical="center" wrapText="1"/>
    </xf>
    <xf numFmtId="0" fontId="7" fillId="3" borderId="1" xfId="23" applyFont="1" applyFill="1" applyBorder="1" applyAlignment="1">
      <alignment horizontal="center" vertical="center"/>
    </xf>
    <xf numFmtId="2" fontId="7" fillId="3" borderId="1" xfId="23" applyNumberFormat="1" applyFont="1" applyFill="1" applyBorder="1" applyAlignment="1">
      <alignment horizontal="center" vertical="center"/>
    </xf>
    <xf numFmtId="0" fontId="6" fillId="3" borderId="1" xfId="23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left" wrapText="1"/>
    </xf>
    <xf numFmtId="0" fontId="15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7" fillId="3" borderId="18" xfId="0" applyNumberFormat="1" applyFont="1" applyFill="1" applyBorder="1" applyAlignment="1">
      <alignment horizontal="center"/>
    </xf>
    <xf numFmtId="2" fontId="7" fillId="3" borderId="18" xfId="0" applyNumberFormat="1" applyFont="1" applyFill="1" applyBorder="1"/>
    <xf numFmtId="2" fontId="7" fillId="3" borderId="18" xfId="0" applyNumberFormat="1" applyFont="1" applyFill="1" applyBorder="1" applyAlignment="1">
      <alignment horizontal="center" vertical="center" wrapText="1"/>
    </xf>
    <xf numFmtId="0" fontId="10" fillId="0" borderId="0" xfId="72" applyFont="1" applyFill="1"/>
    <xf numFmtId="0" fontId="7" fillId="0" borderId="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8" xfId="0" applyNumberFormat="1" applyFont="1" applyFill="1" applyBorder="1"/>
    <xf numFmtId="0" fontId="15" fillId="0" borderId="18" xfId="25" applyFont="1" applyFill="1" applyBorder="1" applyAlignment="1">
      <alignment horizontal="center" vertical="center" wrapText="1"/>
    </xf>
    <xf numFmtId="0" fontId="7" fillId="0" borderId="18" xfId="25" applyFont="1" applyFill="1" applyBorder="1" applyAlignment="1">
      <alignment horizontal="center" vertical="center"/>
    </xf>
    <xf numFmtId="2" fontId="7" fillId="0" borderId="18" xfId="25" applyNumberFormat="1" applyFont="1" applyFill="1" applyBorder="1" applyAlignment="1">
      <alignment horizontal="center" vertical="center" wrapText="1"/>
    </xf>
    <xf numFmtId="0" fontId="15" fillId="0" borderId="18" xfId="25" applyFont="1" applyFill="1" applyBorder="1"/>
    <xf numFmtId="2" fontId="7" fillId="0" borderId="18" xfId="25" applyNumberFormat="1" applyFont="1" applyFill="1" applyBorder="1" applyAlignment="1">
      <alignment horizontal="center" vertical="center"/>
    </xf>
    <xf numFmtId="0" fontId="74" fillId="2" borderId="0" xfId="0" applyFont="1" applyFill="1"/>
    <xf numFmtId="0" fontId="11" fillId="0" borderId="0" xfId="0" applyFont="1" applyFill="1"/>
    <xf numFmtId="0" fontId="75" fillId="0" borderId="0" xfId="0" applyFont="1" applyFill="1"/>
    <xf numFmtId="0" fontId="15" fillId="3" borderId="18" xfId="0" applyFont="1" applyFill="1" applyBorder="1" applyAlignment="1">
      <alignment horizontal="center"/>
    </xf>
    <xf numFmtId="2" fontId="15" fillId="3" borderId="18" xfId="0" applyNumberFormat="1" applyFont="1" applyFill="1" applyBorder="1"/>
    <xf numFmtId="2" fontId="15" fillId="3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76" fillId="0" borderId="0" xfId="0" applyFont="1" applyFill="1"/>
    <xf numFmtId="0" fontId="7" fillId="0" borderId="18" xfId="0" applyFont="1" applyFill="1" applyBorder="1" applyAlignment="1">
      <alignment horizontal="center" vertical="center"/>
    </xf>
    <xf numFmtId="0" fontId="2" fillId="0" borderId="0" xfId="72" applyFont="1" applyFill="1"/>
    <xf numFmtId="2" fontId="15" fillId="3" borderId="18" xfId="0" applyNumberFormat="1" applyFont="1" applyFill="1" applyBorder="1" applyAlignment="1">
      <alignment horizontal="center" vertical="center"/>
    </xf>
    <xf numFmtId="0" fontId="7" fillId="0" borderId="18" xfId="25" applyFont="1" applyFill="1" applyBorder="1" applyAlignment="1">
      <alignment horizontal="center" vertical="center" wrapText="1"/>
    </xf>
    <xf numFmtId="0" fontId="7" fillId="0" borderId="18" xfId="25" applyFont="1" applyFill="1" applyBorder="1" applyAlignment="1">
      <alignment vertical="center" wrapText="1"/>
    </xf>
    <xf numFmtId="0" fontId="74" fillId="0" borderId="0" xfId="0" applyFont="1" applyFill="1"/>
    <xf numFmtId="0" fontId="77" fillId="3" borderId="18" xfId="0" applyFont="1" applyFill="1" applyBorder="1" applyAlignment="1">
      <alignment horizontal="center" vertical="center"/>
    </xf>
    <xf numFmtId="0" fontId="77" fillId="3" borderId="18" xfId="0" applyFont="1" applyFill="1" applyBorder="1" applyAlignment="1">
      <alignment vertical="center" wrapText="1"/>
    </xf>
    <xf numFmtId="43" fontId="77" fillId="3" borderId="18" xfId="0" applyNumberFormat="1" applyFont="1" applyFill="1" applyBorder="1" applyAlignment="1">
      <alignment horizontal="center" vertical="center"/>
    </xf>
    <xf numFmtId="2" fontId="77" fillId="3" borderId="18" xfId="0" applyNumberFormat="1" applyFont="1" applyFill="1" applyBorder="1" applyAlignment="1">
      <alignment horizontal="center" vertical="center"/>
    </xf>
    <xf numFmtId="2" fontId="15" fillId="3" borderId="18" xfId="12" applyNumberFormat="1" applyFont="1" applyFill="1" applyBorder="1" applyAlignment="1">
      <alignment horizontal="center" vertical="center"/>
    </xf>
    <xf numFmtId="0" fontId="77" fillId="2" borderId="0" xfId="0" applyFont="1" applyFill="1"/>
    <xf numFmtId="0" fontId="73" fillId="0" borderId="18" xfId="0" applyFont="1" applyFill="1" applyBorder="1" applyAlignment="1">
      <alignment horizontal="center" vertical="center"/>
    </xf>
    <xf numFmtId="0" fontId="15" fillId="3" borderId="18" xfId="25" applyFont="1" applyFill="1" applyBorder="1" applyAlignment="1">
      <alignment horizontal="center" vertical="center" wrapText="1"/>
    </xf>
    <xf numFmtId="0" fontId="15" fillId="3" borderId="18" xfId="25" applyFont="1" applyFill="1" applyBorder="1" applyAlignment="1">
      <alignment vertical="center" wrapText="1"/>
    </xf>
    <xf numFmtId="0" fontId="15" fillId="3" borderId="18" xfId="35" applyFont="1" applyFill="1" applyBorder="1" applyAlignment="1">
      <alignment horizontal="center"/>
    </xf>
    <xf numFmtId="2" fontId="15" fillId="3" borderId="18" xfId="25" applyNumberFormat="1" applyFont="1" applyFill="1" applyBorder="1" applyAlignment="1">
      <alignment horizontal="center" vertical="center"/>
    </xf>
    <xf numFmtId="2" fontId="15" fillId="3" borderId="18" xfId="25" applyNumberFormat="1" applyFont="1" applyFill="1" applyBorder="1" applyAlignment="1">
      <alignment horizontal="center" vertical="center" wrapText="1"/>
    </xf>
    <xf numFmtId="2" fontId="7" fillId="3" borderId="18" xfId="25" applyNumberFormat="1" applyFont="1" applyFill="1" applyBorder="1" applyAlignment="1">
      <alignment horizontal="center" vertical="center" wrapText="1"/>
    </xf>
    <xf numFmtId="2" fontId="7" fillId="3" borderId="18" xfId="25" applyNumberFormat="1" applyFont="1" applyFill="1" applyBorder="1" applyAlignment="1">
      <alignment horizontal="center" vertical="center"/>
    </xf>
    <xf numFmtId="0" fontId="7" fillId="0" borderId="18" xfId="0" applyFont="1" applyFill="1" applyBorder="1"/>
    <xf numFmtId="2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/>
    <xf numFmtId="0" fontId="15" fillId="3" borderId="18" xfId="0" applyFont="1" applyFill="1" applyBorder="1" applyAlignment="1">
      <alignment horizontal="left" vertical="center" wrapText="1"/>
    </xf>
    <xf numFmtId="170" fontId="15" fillId="3" borderId="18" xfId="0" applyNumberFormat="1" applyFont="1" applyFill="1" applyBorder="1" applyAlignment="1">
      <alignment horizontal="center" vertical="center" wrapText="1"/>
    </xf>
    <xf numFmtId="0" fontId="76" fillId="2" borderId="0" xfId="0" applyFont="1" applyFill="1"/>
    <xf numFmtId="0" fontId="15" fillId="0" borderId="18" xfId="0" applyFont="1" applyFill="1" applyBorder="1" applyAlignment="1">
      <alignment horizontal="center" vertical="center" wrapText="1"/>
    </xf>
    <xf numFmtId="0" fontId="7" fillId="0" borderId="18" xfId="33" applyFont="1" applyFill="1" applyBorder="1" applyAlignment="1">
      <alignment horizontal="left" vertical="center" wrapText="1"/>
    </xf>
    <xf numFmtId="0" fontId="7" fillId="0" borderId="18" xfId="33" applyFont="1" applyFill="1" applyBorder="1" applyAlignment="1">
      <alignment horizontal="center" vertical="center" wrapText="1"/>
    </xf>
    <xf numFmtId="166" fontId="7" fillId="0" borderId="18" xfId="33" applyNumberFormat="1" applyFont="1" applyFill="1" applyBorder="1" applyAlignment="1">
      <alignment horizontal="center" vertical="center" wrapText="1"/>
    </xf>
    <xf numFmtId="2" fontId="7" fillId="0" borderId="18" xfId="33" applyNumberFormat="1" applyFont="1" applyFill="1" applyBorder="1" applyAlignment="1">
      <alignment horizontal="center" vertical="center" wrapText="1"/>
    </xf>
    <xf numFmtId="0" fontId="7" fillId="0" borderId="18" xfId="33" applyFont="1" applyFill="1" applyBorder="1" applyAlignment="1">
      <alignment horizontal="center"/>
    </xf>
    <xf numFmtId="2" fontId="7" fillId="0" borderId="18" xfId="33" applyNumberFormat="1" applyFont="1" applyFill="1" applyBorder="1" applyAlignment="1">
      <alignment horizontal="center"/>
    </xf>
    <xf numFmtId="0" fontId="73" fillId="0" borderId="18" xfId="0" applyFont="1" applyFill="1" applyBorder="1" applyAlignment="1">
      <alignment vertical="center" wrapText="1"/>
    </xf>
    <xf numFmtId="43" fontId="73" fillId="0" borderId="18" xfId="0" applyNumberFormat="1" applyFont="1" applyFill="1" applyBorder="1" applyAlignment="1">
      <alignment horizontal="center" vertical="center"/>
    </xf>
    <xf numFmtId="2" fontId="7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2" fontId="7" fillId="0" borderId="18" xfId="33" applyNumberFormat="1" applyFont="1" applyFill="1" applyBorder="1" applyAlignment="1">
      <alignment horizontal="center" vertical="center"/>
    </xf>
    <xf numFmtId="0" fontId="7" fillId="0" borderId="18" xfId="33" applyFont="1" applyFill="1" applyBorder="1" applyAlignment="1">
      <alignment vertical="center" wrapText="1"/>
    </xf>
    <xf numFmtId="2" fontId="7" fillId="0" borderId="18" xfId="46" applyNumberFormat="1" applyFont="1" applyFill="1" applyBorder="1" applyAlignment="1">
      <alignment horizontal="center" vertical="center" wrapText="1"/>
    </xf>
    <xf numFmtId="0" fontId="75" fillId="0" borderId="18" xfId="33" applyFont="1" applyFill="1" applyBorder="1" applyAlignment="1">
      <alignment horizontal="left" vertical="center" wrapText="1"/>
    </xf>
    <xf numFmtId="0" fontId="15" fillId="3" borderId="18" xfId="33" applyFont="1" applyFill="1" applyBorder="1" applyAlignment="1">
      <alignment horizontal="left" vertical="center" wrapText="1"/>
    </xf>
    <xf numFmtId="0" fontId="15" fillId="3" borderId="18" xfId="33" applyFont="1" applyFill="1" applyBorder="1" applyAlignment="1">
      <alignment horizontal="center"/>
    </xf>
    <xf numFmtId="0" fontId="79" fillId="0" borderId="0" xfId="0" applyFont="1" applyFill="1"/>
    <xf numFmtId="0" fontId="7" fillId="0" borderId="18" xfId="3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/>
    </xf>
    <xf numFmtId="2" fontId="15" fillId="3" borderId="18" xfId="55" applyNumberFormat="1" applyFont="1" applyFill="1" applyBorder="1" applyAlignment="1">
      <alignment horizontal="center" vertical="center"/>
    </xf>
    <xf numFmtId="0" fontId="74" fillId="2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7" fillId="0" borderId="18" xfId="55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70" fontId="7" fillId="0" borderId="18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2" fillId="0" borderId="0" xfId="35" applyFont="1" applyFill="1" applyAlignment="1">
      <alignment vertical="center"/>
    </xf>
    <xf numFmtId="0" fontId="10" fillId="0" borderId="0" xfId="35" applyFont="1" applyFill="1" applyAlignment="1">
      <alignment vertical="center"/>
    </xf>
    <xf numFmtId="0" fontId="10" fillId="0" borderId="0" xfId="38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/>
    </xf>
    <xf numFmtId="166" fontId="15" fillId="3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3" borderId="1" xfId="33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7" fillId="0" borderId="18" xfId="33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33" applyNumberFormat="1" applyFont="1" applyFill="1" applyBorder="1" applyAlignment="1">
      <alignment horizontal="center" vertical="center" wrapText="1"/>
    </xf>
    <xf numFmtId="166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19" fillId="0" borderId="18" xfId="33" applyFont="1" applyFill="1" applyBorder="1" applyAlignment="1">
      <alignment horizontal="center" vertical="center" wrapText="1"/>
    </xf>
    <xf numFmtId="166" fontId="7" fillId="0" borderId="18" xfId="33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5" fillId="3" borderId="18" xfId="3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3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8" xfId="73" applyNumberFormat="1" applyFont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80" fillId="0" borderId="18" xfId="23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 wrapText="1"/>
    </xf>
    <xf numFmtId="166" fontId="7" fillId="0" borderId="18" xfId="34" applyNumberFormat="1" applyFont="1" applyFill="1" applyBorder="1" applyAlignment="1">
      <alignment horizontal="center" vertical="center" wrapText="1"/>
    </xf>
    <xf numFmtId="0" fontId="7" fillId="0" borderId="18" xfId="23" applyFont="1" applyFill="1" applyBorder="1" applyAlignment="1">
      <alignment horizontal="center" vertical="center"/>
    </xf>
    <xf numFmtId="2" fontId="7" fillId="0" borderId="18" xfId="4" applyNumberFormat="1" applyFont="1" applyFill="1" applyBorder="1" applyAlignment="1">
      <alignment horizontal="center" vertical="center" wrapText="1"/>
    </xf>
    <xf numFmtId="43" fontId="73" fillId="0" borderId="19" xfId="0" applyNumberFormat="1" applyFont="1" applyFill="1" applyBorder="1" applyAlignment="1">
      <alignment horizontal="center" vertical="center"/>
    </xf>
    <xf numFmtId="2" fontId="73" fillId="0" borderId="19" xfId="0" applyNumberFormat="1" applyFont="1" applyFill="1" applyBorder="1" applyAlignment="1">
      <alignment horizontal="center" vertical="center"/>
    </xf>
    <xf numFmtId="0" fontId="75" fillId="0" borderId="18" xfId="23" applyFont="1" applyFill="1" applyBorder="1" applyAlignment="1">
      <alignment horizontal="left" vertical="center"/>
    </xf>
    <xf numFmtId="0" fontId="80" fillId="0" borderId="0" xfId="23" applyFont="1" applyFill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 wrapText="1"/>
    </xf>
    <xf numFmtId="0" fontId="7" fillId="0" borderId="18" xfId="35" applyFont="1" applyFill="1" applyBorder="1" applyAlignment="1">
      <alignment horizontal="center"/>
    </xf>
    <xf numFmtId="2" fontId="15" fillId="3" borderId="18" xfId="33" applyNumberFormat="1" applyFont="1" applyFill="1" applyBorder="1" applyAlignment="1">
      <alignment horizontal="center" vertical="center" wrapText="1"/>
    </xf>
    <xf numFmtId="0" fontId="7" fillId="0" borderId="22" xfId="23" applyFont="1" applyFill="1" applyBorder="1" applyAlignment="1">
      <alignment horizontal="center" vertical="center"/>
    </xf>
    <xf numFmtId="2" fontId="7" fillId="0" borderId="21" xfId="4" applyNumberFormat="1" applyFont="1" applyFill="1" applyBorder="1" applyAlignment="1">
      <alignment horizontal="center" vertical="center" wrapText="1"/>
    </xf>
    <xf numFmtId="0" fontId="7" fillId="0" borderId="18" xfId="4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vertical="center"/>
    </xf>
    <xf numFmtId="166" fontId="11" fillId="0" borderId="1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166" fontId="7" fillId="0" borderId="23" xfId="33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3" xfId="33" applyFont="1" applyFill="1" applyBorder="1" applyAlignment="1">
      <alignment vertical="center" wrapText="1"/>
    </xf>
    <xf numFmtId="166" fontId="15" fillId="3" borderId="23" xfId="33" applyNumberFormat="1" applyFont="1" applyFill="1" applyBorder="1" applyAlignment="1">
      <alignment horizontal="center" vertical="center" wrapText="1"/>
    </xf>
    <xf numFmtId="2" fontId="15" fillId="3" borderId="23" xfId="0" applyNumberFormat="1" applyFont="1" applyFill="1" applyBorder="1" applyAlignment="1">
      <alignment horizontal="center" vertical="center" wrapText="1"/>
    </xf>
    <xf numFmtId="166" fontId="15" fillId="3" borderId="1" xfId="33" applyNumberFormat="1" applyFont="1" applyFill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" borderId="18" xfId="25" applyFont="1" applyFill="1" applyBorder="1" applyAlignment="1">
      <alignment horizontal="center" vertical="center" wrapText="1"/>
    </xf>
    <xf numFmtId="0" fontId="7" fillId="3" borderId="18" xfId="33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left" vertical="center" wrapText="1"/>
    </xf>
    <xf numFmtId="2" fontId="7" fillId="0" borderId="23" xfId="33" applyNumberFormat="1" applyFont="1" applyFill="1" applyBorder="1" applyAlignment="1">
      <alignment horizontal="center" vertical="center" wrapText="1"/>
    </xf>
    <xf numFmtId="166" fontId="7" fillId="0" borderId="23" xfId="33" applyNumberFormat="1" applyFont="1" applyFill="1" applyBorder="1" applyAlignment="1">
      <alignment horizontal="center" vertical="center"/>
    </xf>
    <xf numFmtId="2" fontId="7" fillId="0" borderId="23" xfId="33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33" applyFont="1" applyFill="1" applyBorder="1" applyAlignment="1">
      <alignment horizontal="center" vertical="center"/>
    </xf>
    <xf numFmtId="43" fontId="73" fillId="0" borderId="23" xfId="0" applyNumberFormat="1" applyFont="1" applyFill="1" applyBorder="1" applyAlignment="1">
      <alignment horizontal="center" vertical="center"/>
    </xf>
    <xf numFmtId="2" fontId="73" fillId="0" borderId="23" xfId="0" applyNumberFormat="1" applyFont="1" applyFill="1" applyBorder="1" applyAlignment="1">
      <alignment horizontal="center" vertical="center"/>
    </xf>
    <xf numFmtId="0" fontId="73" fillId="2" borderId="0" xfId="0" applyFont="1" applyFill="1"/>
    <xf numFmtId="0" fontId="77" fillId="3" borderId="6" xfId="0" applyFont="1" applyFill="1" applyBorder="1" applyAlignment="1">
      <alignment horizontal="center" vertical="center"/>
    </xf>
    <xf numFmtId="0" fontId="77" fillId="3" borderId="23" xfId="0" applyFont="1" applyFill="1" applyBorder="1" applyAlignment="1">
      <alignment vertical="center" wrapText="1"/>
    </xf>
    <xf numFmtId="43" fontId="77" fillId="3" borderId="23" xfId="0" applyNumberFormat="1" applyFont="1" applyFill="1" applyBorder="1" applyAlignment="1">
      <alignment horizontal="center" vertical="center"/>
    </xf>
    <xf numFmtId="43" fontId="77" fillId="3" borderId="19" xfId="0" applyNumberFormat="1" applyFont="1" applyFill="1" applyBorder="1" applyAlignment="1">
      <alignment horizontal="center" vertical="center"/>
    </xf>
    <xf numFmtId="2" fontId="75" fillId="2" borderId="0" xfId="0" applyNumberFormat="1" applyFont="1" applyFill="1" applyAlignment="1">
      <alignment horizontal="left" vertical="center"/>
    </xf>
    <xf numFmtId="0" fontId="73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43" fontId="73" fillId="2" borderId="23" xfId="0" applyNumberFormat="1" applyFont="1" applyFill="1" applyBorder="1" applyAlignment="1">
      <alignment horizontal="center" vertical="center"/>
    </xf>
    <xf numFmtId="43" fontId="73" fillId="2" borderId="19" xfId="0" applyNumberFormat="1" applyFont="1" applyFill="1" applyBorder="1" applyAlignment="1">
      <alignment horizontal="center" vertical="center"/>
    </xf>
    <xf numFmtId="0" fontId="73" fillId="2" borderId="19" xfId="0" applyNumberFormat="1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/>
    </xf>
    <xf numFmtId="0" fontId="73" fillId="2" borderId="23" xfId="0" applyFont="1" applyFill="1" applyBorder="1" applyAlignment="1">
      <alignment vertical="center" wrapText="1"/>
    </xf>
    <xf numFmtId="2" fontId="73" fillId="2" borderId="19" xfId="0" applyNumberFormat="1" applyFont="1" applyFill="1" applyBorder="1" applyAlignment="1">
      <alignment horizontal="center" vertical="center"/>
    </xf>
    <xf numFmtId="0" fontId="7" fillId="2" borderId="23" xfId="33" applyFont="1" applyFill="1" applyBorder="1" applyAlignment="1">
      <alignment vertical="center" wrapText="1"/>
    </xf>
    <xf numFmtId="0" fontId="74" fillId="2" borderId="0" xfId="0" quotePrefix="1" applyFont="1" applyFill="1" applyAlignment="1">
      <alignment horizontal="left" vertical="center" wrapText="1"/>
    </xf>
    <xf numFmtId="0" fontId="73" fillId="2" borderId="24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 wrapText="1"/>
    </xf>
    <xf numFmtId="166" fontId="7" fillId="2" borderId="24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3" fillId="2" borderId="8" xfId="0" applyFont="1" applyFill="1" applyBorder="1" applyAlignment="1">
      <alignment horizontal="center" vertical="center"/>
    </xf>
    <xf numFmtId="0" fontId="73" fillId="2" borderId="25" xfId="0" applyFont="1" applyFill="1" applyBorder="1" applyAlignment="1">
      <alignment horizontal="center" vertical="center"/>
    </xf>
    <xf numFmtId="0" fontId="7" fillId="2" borderId="24" xfId="33" applyFont="1" applyFill="1" applyBorder="1" applyAlignment="1">
      <alignment horizontal="left" vertical="center" wrapText="1"/>
    </xf>
    <xf numFmtId="2" fontId="73" fillId="2" borderId="15" xfId="0" applyNumberFormat="1" applyFont="1" applyFill="1" applyBorder="1" applyAlignment="1">
      <alignment horizontal="center" vertical="center"/>
    </xf>
    <xf numFmtId="0" fontId="15" fillId="3" borderId="5" xfId="0" applyFont="1" applyFill="1" applyBorder="1"/>
    <xf numFmtId="0" fontId="77" fillId="3" borderId="18" xfId="0" applyFont="1" applyFill="1" applyBorder="1" applyAlignment="1">
      <alignment wrapText="1"/>
    </xf>
    <xf numFmtId="2" fontId="15" fillId="3" borderId="4" xfId="0" applyNumberFormat="1" applyFont="1" applyFill="1" applyBorder="1" applyAlignment="1">
      <alignment horizontal="center" vertical="center" wrapText="1"/>
    </xf>
    <xf numFmtId="2" fontId="77" fillId="3" borderId="20" xfId="0" applyNumberFormat="1" applyFont="1" applyFill="1" applyBorder="1" applyAlignment="1">
      <alignment horizontal="center"/>
    </xf>
    <xf numFmtId="166" fontId="15" fillId="3" borderId="18" xfId="0" applyNumberFormat="1" applyFont="1" applyFill="1" applyBorder="1"/>
    <xf numFmtId="0" fontId="15" fillId="3" borderId="18" xfId="0" applyFont="1" applyFill="1" applyBorder="1"/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33" applyFont="1" applyFill="1" applyBorder="1" applyAlignment="1">
      <alignment vertical="center" wrapText="1"/>
    </xf>
    <xf numFmtId="0" fontId="7" fillId="0" borderId="24" xfId="33" applyNumberFormat="1" applyFont="1" applyFill="1" applyBorder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166" fontId="15" fillId="3" borderId="18" xfId="33" applyNumberFormat="1" applyFont="1" applyFill="1" applyBorder="1" applyAlignment="1">
      <alignment horizontal="center" vertical="center" wrapText="1"/>
    </xf>
    <xf numFmtId="0" fontId="15" fillId="3" borderId="1" xfId="33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4" xfId="33" applyFont="1" applyFill="1" applyBorder="1" applyAlignment="1">
      <alignment vertical="center" wrapText="1"/>
    </xf>
    <xf numFmtId="166" fontId="15" fillId="3" borderId="24" xfId="0" applyNumberFormat="1" applyFont="1" applyFill="1" applyBorder="1" applyAlignment="1">
      <alignment horizontal="center" vertical="center" wrapText="1"/>
    </xf>
    <xf numFmtId="2" fontId="15" fillId="3" borderId="24" xfId="0" applyNumberFormat="1" applyFont="1" applyFill="1" applyBorder="1" applyAlignment="1">
      <alignment horizontal="center" vertical="center" wrapText="1"/>
    </xf>
    <xf numFmtId="166" fontId="7" fillId="0" borderId="24" xfId="33" applyNumberFormat="1" applyFont="1" applyFill="1" applyBorder="1" applyAlignment="1">
      <alignment horizontal="center" vertical="center" wrapText="1"/>
    </xf>
    <xf numFmtId="0" fontId="15" fillId="3" borderId="24" xfId="33" applyNumberFormat="1" applyFont="1" applyFill="1" applyBorder="1" applyAlignment="1">
      <alignment horizontal="center" vertical="center" wrapText="1"/>
    </xf>
    <xf numFmtId="166" fontId="15" fillId="3" borderId="24" xfId="33" applyNumberFormat="1" applyFont="1" applyFill="1" applyBorder="1" applyAlignment="1">
      <alignment horizontal="center" vertical="center" wrapText="1"/>
    </xf>
    <xf numFmtId="0" fontId="15" fillId="3" borderId="24" xfId="0" applyNumberFormat="1" applyFont="1" applyFill="1" applyBorder="1" applyAlignment="1">
      <alignment horizontal="center" vertical="center" wrapText="1"/>
    </xf>
    <xf numFmtId="0" fontId="19" fillId="0" borderId="24" xfId="33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166" fontId="7" fillId="2" borderId="2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167" fontId="15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/>
    </xf>
    <xf numFmtId="167" fontId="11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66" fontId="10" fillId="0" borderId="2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2" fontId="7" fillId="0" borderId="7" xfId="46" applyNumberFormat="1" applyFont="1" applyFill="1" applyBorder="1" applyAlignment="1">
      <alignment horizontal="center" vertical="center" wrapText="1"/>
    </xf>
    <xf numFmtId="9" fontId="7" fillId="0" borderId="24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7" fillId="0" borderId="24" xfId="33" applyFont="1" applyFill="1" applyBorder="1" applyAlignment="1">
      <alignment horizontal="left" vertical="center" wrapText="1"/>
    </xf>
    <xf numFmtId="0" fontId="7" fillId="0" borderId="24" xfId="0" applyFont="1" applyFill="1" applyBorder="1"/>
    <xf numFmtId="0" fontId="7" fillId="0" borderId="24" xfId="0" applyFont="1" applyFill="1" applyBorder="1" applyAlignment="1">
      <alignment vertical="center"/>
    </xf>
    <xf numFmtId="10" fontId="23" fillId="0" borderId="24" xfId="27" applyNumberFormat="1" applyFill="1" applyBorder="1" applyAlignment="1">
      <alignment horizontal="center" vertical="center"/>
    </xf>
    <xf numFmtId="177" fontId="15" fillId="0" borderId="24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vertical="center" wrapText="1"/>
    </xf>
    <xf numFmtId="2" fontId="38" fillId="0" borderId="24" xfId="0" applyNumberFormat="1" applyFont="1" applyFill="1" applyBorder="1" applyAlignment="1">
      <alignment horizontal="center" vertical="center" wrapText="1"/>
    </xf>
    <xf numFmtId="4" fontId="38" fillId="0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/>
    </xf>
    <xf numFmtId="0" fontId="0" fillId="0" borderId="24" xfId="0" applyBorder="1"/>
    <xf numFmtId="0" fontId="15" fillId="3" borderId="24" xfId="0" applyFont="1" applyFill="1" applyBorder="1" applyAlignment="1">
      <alignment vertical="center" wrapText="1"/>
    </xf>
    <xf numFmtId="2" fontId="15" fillId="3" borderId="24" xfId="27" applyNumberFormat="1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15" fillId="3" borderId="7" xfId="0" applyFont="1" applyFill="1" applyBorder="1" applyAlignment="1">
      <alignment horizontal="center" vertical="center" wrapText="1"/>
    </xf>
    <xf numFmtId="167" fontId="15" fillId="3" borderId="24" xfId="0" applyNumberFormat="1" applyFont="1" applyFill="1" applyBorder="1" applyAlignment="1">
      <alignment horizontal="center" vertical="center" wrapText="1"/>
    </xf>
    <xf numFmtId="0" fontId="15" fillId="3" borderId="24" xfId="35" applyFont="1" applyFill="1" applyBorder="1" applyAlignment="1">
      <alignment horizontal="center" vertical="center"/>
    </xf>
    <xf numFmtId="2" fontId="15" fillId="3" borderId="24" xfId="0" applyNumberFormat="1" applyFont="1" applyFill="1" applyBorder="1" applyAlignment="1">
      <alignment horizontal="center" vertical="center"/>
    </xf>
    <xf numFmtId="0" fontId="15" fillId="3" borderId="24" xfId="46" applyFont="1" applyFill="1" applyBorder="1" applyAlignment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174" fontId="15" fillId="3" borderId="24" xfId="0" applyNumberFormat="1" applyFont="1" applyFill="1" applyBorder="1" applyAlignment="1">
      <alignment horizontal="center" vertical="center"/>
    </xf>
    <xf numFmtId="167" fontId="12" fillId="3" borderId="24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5" fillId="3" borderId="24" xfId="35" applyFont="1" applyFill="1" applyBorder="1" applyAlignment="1">
      <alignment horizontal="center"/>
    </xf>
    <xf numFmtId="0" fontId="15" fillId="3" borderId="24" xfId="35" applyFont="1" applyFill="1" applyBorder="1" applyAlignment="1">
      <alignment vertical="center" wrapText="1"/>
    </xf>
    <xf numFmtId="0" fontId="15" fillId="3" borderId="24" xfId="35" applyFont="1" applyFill="1" applyBorder="1" applyAlignment="1">
      <alignment horizontal="center" vertical="center" wrapText="1"/>
    </xf>
    <xf numFmtId="166" fontId="15" fillId="3" borderId="24" xfId="35" applyNumberFormat="1" applyFont="1" applyFill="1" applyBorder="1" applyAlignment="1">
      <alignment horizontal="center" vertical="center"/>
    </xf>
    <xf numFmtId="2" fontId="15" fillId="3" borderId="24" xfId="35" applyNumberFormat="1" applyFont="1" applyFill="1" applyBorder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2" fontId="7" fillId="3" borderId="24" xfId="0" applyNumberFormat="1" applyFont="1" applyFill="1" applyBorder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 vertical="center" wrapText="1"/>
    </xf>
    <xf numFmtId="167" fontId="7" fillId="3" borderId="24" xfId="0" applyNumberFormat="1" applyFont="1" applyFill="1" applyBorder="1" applyAlignment="1">
      <alignment horizontal="center" vertical="center" wrapText="1"/>
    </xf>
    <xf numFmtId="2" fontId="7" fillId="3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43" fontId="11" fillId="2" borderId="24" xfId="1" applyFont="1" applyFill="1" applyBorder="1" applyAlignment="1">
      <alignment horizontal="center" vertical="center" wrapText="1"/>
    </xf>
    <xf numFmtId="0" fontId="0" fillId="0" borderId="24" xfId="0" applyFill="1" applyBorder="1"/>
    <xf numFmtId="0" fontId="56" fillId="0" borderId="24" xfId="0" applyFont="1" applyBorder="1"/>
    <xf numFmtId="0" fontId="5" fillId="0" borderId="2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19" xfId="35" applyFont="1" applyFill="1" applyBorder="1" applyAlignment="1">
      <alignment horizontal="center" vertical="center" wrapText="1"/>
    </xf>
    <xf numFmtId="2" fontId="7" fillId="0" borderId="28" xfId="35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 vertical="center" wrapText="1"/>
    </xf>
    <xf numFmtId="0" fontId="15" fillId="3" borderId="28" xfId="35" applyFont="1" applyFill="1" applyBorder="1" applyAlignment="1">
      <alignment horizontal="center"/>
    </xf>
    <xf numFmtId="0" fontId="7" fillId="0" borderId="28" xfId="25" applyFont="1" applyFill="1" applyBorder="1" applyAlignment="1">
      <alignment horizontal="center" vertical="center" wrapText="1"/>
    </xf>
    <xf numFmtId="0" fontId="7" fillId="0" borderId="28" xfId="35" applyFont="1" applyFill="1" applyBorder="1" applyAlignment="1">
      <alignment horizontal="left" vertical="center" wrapText="1"/>
    </xf>
    <xf numFmtId="0" fontId="7" fillId="0" borderId="28" xfId="35" applyFont="1" applyFill="1" applyBorder="1" applyAlignment="1">
      <alignment horizontal="center" vertical="center" wrapText="1"/>
    </xf>
    <xf numFmtId="2" fontId="7" fillId="0" borderId="28" xfId="35" applyNumberFormat="1" applyFont="1" applyFill="1" applyBorder="1" applyAlignment="1">
      <alignment horizontal="center" vertical="center" wrapText="1"/>
    </xf>
    <xf numFmtId="0" fontId="7" fillId="0" borderId="28" xfId="35" applyFont="1" applyFill="1" applyBorder="1" applyAlignment="1">
      <alignment horizontal="center"/>
    </xf>
    <xf numFmtId="2" fontId="7" fillId="0" borderId="28" xfId="25" applyNumberFormat="1" applyFont="1" applyFill="1" applyBorder="1" applyAlignment="1">
      <alignment horizontal="center" vertical="center" wrapText="1"/>
    </xf>
    <xf numFmtId="0" fontId="15" fillId="0" borderId="28" xfId="35" applyFont="1" applyFill="1" applyBorder="1" applyAlignment="1">
      <alignment horizontal="center"/>
    </xf>
    <xf numFmtId="0" fontId="15" fillId="0" borderId="19" xfId="25" applyFont="1" applyFill="1" applyBorder="1" applyAlignment="1">
      <alignment horizontal="center" vertical="center" wrapText="1"/>
    </xf>
    <xf numFmtId="0" fontId="7" fillId="0" borderId="19" xfId="25" applyFont="1" applyFill="1" applyBorder="1" applyAlignment="1">
      <alignment vertical="center"/>
    </xf>
    <xf numFmtId="0" fontId="7" fillId="0" borderId="19" xfId="25" applyFont="1" applyFill="1" applyBorder="1" applyAlignment="1">
      <alignment horizontal="center" vertical="center"/>
    </xf>
    <xf numFmtId="2" fontId="7" fillId="0" borderId="19" xfId="25" applyNumberFormat="1" applyFont="1" applyFill="1" applyBorder="1" applyAlignment="1">
      <alignment horizontal="center" vertical="center" wrapText="1"/>
    </xf>
    <xf numFmtId="0" fontId="7" fillId="0" borderId="28" xfId="35" applyFont="1" applyFill="1" applyBorder="1" applyAlignment="1">
      <alignment vertical="center" wrapText="1"/>
    </xf>
    <xf numFmtId="0" fontId="7" fillId="0" borderId="28" xfId="46" applyFont="1" applyFill="1" applyBorder="1" applyAlignment="1">
      <alignment horizontal="center" vertical="center" wrapText="1"/>
    </xf>
    <xf numFmtId="43" fontId="15" fillId="0" borderId="28" xfId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7" fillId="3" borderId="28" xfId="46" applyFont="1" applyFill="1" applyBorder="1" applyAlignment="1">
      <alignment horizontal="center" vertical="center" wrapText="1"/>
    </xf>
    <xf numFmtId="2" fontId="7" fillId="3" borderId="28" xfId="0" applyNumberFormat="1" applyFont="1" applyFill="1" applyBorder="1" applyAlignment="1">
      <alignment horizontal="center" vertical="center" wrapText="1"/>
    </xf>
    <xf numFmtId="43" fontId="15" fillId="3" borderId="28" xfId="1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8" xfId="35" applyFont="1" applyFill="1" applyBorder="1" applyAlignment="1">
      <alignment horizontal="center" vertical="center" wrapText="1"/>
    </xf>
    <xf numFmtId="2" fontId="15" fillId="3" borderId="28" xfId="35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19" fillId="0" borderId="28" xfId="3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/>
    </xf>
    <xf numFmtId="0" fontId="17" fillId="3" borderId="28" xfId="0" applyNumberFormat="1" applyFont="1" applyFill="1" applyBorder="1" applyAlignment="1">
      <alignment horizontal="center" vertical="center"/>
    </xf>
    <xf numFmtId="0" fontId="79" fillId="3" borderId="28" xfId="0" applyNumberFormat="1" applyFont="1" applyFill="1" applyBorder="1" applyAlignment="1">
      <alignment horizontal="center" vertical="center"/>
    </xf>
    <xf numFmtId="2" fontId="82" fillId="3" borderId="28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41" fillId="0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83" fillId="0" borderId="28" xfId="0" applyNumberFormat="1" applyFont="1" applyFill="1" applyBorder="1" applyAlignment="1">
      <alignment horizontal="center" vertical="center"/>
    </xf>
    <xf numFmtId="2" fontId="83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84" fillId="0" borderId="28" xfId="0" applyNumberFormat="1" applyFont="1" applyFill="1" applyBorder="1" applyAlignment="1">
      <alignment horizontal="center" vertical="center" wrapText="1"/>
    </xf>
    <xf numFmtId="0" fontId="85" fillId="0" borderId="28" xfId="0" applyNumberFormat="1" applyFont="1" applyFill="1" applyBorder="1" applyAlignment="1">
      <alignment vertical="center"/>
    </xf>
    <xf numFmtId="0" fontId="86" fillId="0" borderId="28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37" fillId="0" borderId="28" xfId="0" applyNumberFormat="1" applyFont="1" applyFill="1" applyBorder="1" applyAlignment="1">
      <alignment horizontal="center" vertical="center" wrapText="1"/>
    </xf>
    <xf numFmtId="0" fontId="87" fillId="0" borderId="28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74" fillId="0" borderId="28" xfId="0" applyNumberFormat="1" applyFont="1" applyFill="1" applyBorder="1"/>
    <xf numFmtId="0" fontId="74" fillId="0" borderId="28" xfId="0" applyNumberFormat="1" applyFont="1" applyFill="1" applyBorder="1" applyAlignment="1">
      <alignment horizontal="center" vertical="center"/>
    </xf>
    <xf numFmtId="0" fontId="90" fillId="0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wrapText="1"/>
    </xf>
    <xf numFmtId="0" fontId="0" fillId="0" borderId="28" xfId="0" applyNumberFormat="1" applyFill="1" applyBorder="1" applyAlignment="1">
      <alignment horizontal="center" vertical="center"/>
    </xf>
    <xf numFmtId="2" fontId="37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79" fillId="3" borderId="28" xfId="0" applyNumberFormat="1" applyFont="1" applyFill="1" applyBorder="1" applyAlignment="1">
      <alignment vertical="center" wrapText="1"/>
    </xf>
    <xf numFmtId="0" fontId="15" fillId="3" borderId="28" xfId="34" applyFont="1" applyFill="1" applyBorder="1" applyAlignment="1">
      <alignment horizontal="center" vertical="center" wrapText="1"/>
    </xf>
    <xf numFmtId="0" fontId="42" fillId="3" borderId="28" xfId="34" applyFont="1" applyFill="1" applyBorder="1" applyAlignment="1">
      <alignment vertical="center" wrapText="1"/>
    </xf>
    <xf numFmtId="0" fontId="2" fillId="3" borderId="28" xfId="34" applyFont="1" applyFill="1" applyBorder="1" applyAlignment="1">
      <alignment horizontal="center" vertical="center"/>
    </xf>
    <xf numFmtId="0" fontId="33" fillId="3" borderId="28" xfId="34" applyFont="1" applyFill="1" applyBorder="1" applyAlignment="1">
      <alignment horizontal="center" vertical="center"/>
    </xf>
    <xf numFmtId="2" fontId="15" fillId="3" borderId="28" xfId="34" applyNumberFormat="1" applyFont="1" applyFill="1" applyBorder="1" applyAlignment="1">
      <alignment horizontal="center" vertical="center" wrapText="1"/>
    </xf>
    <xf numFmtId="2" fontId="7" fillId="3" borderId="28" xfId="34" applyNumberFormat="1" applyFont="1" applyFill="1" applyBorder="1" applyAlignment="1">
      <alignment horizontal="center" vertical="center" wrapText="1"/>
    </xf>
    <xf numFmtId="167" fontId="7" fillId="3" borderId="28" xfId="34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167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1" fillId="0" borderId="29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 wrapText="1"/>
    </xf>
    <xf numFmtId="167" fontId="11" fillId="0" borderId="28" xfId="0" applyNumberFormat="1" applyFont="1" applyFill="1" applyBorder="1" applyAlignment="1">
      <alignment horizontal="center" vertical="center" wrapText="1"/>
    </xf>
    <xf numFmtId="167" fontId="7" fillId="0" borderId="28" xfId="34" applyNumberFormat="1" applyFont="1" applyFill="1" applyBorder="1" applyAlignment="1">
      <alignment horizontal="center" vertical="center" wrapText="1"/>
    </xf>
    <xf numFmtId="0" fontId="7" fillId="0" borderId="19" xfId="34" applyFont="1" applyFill="1" applyBorder="1" applyAlignment="1">
      <alignment horizontal="center" vertical="center" wrapText="1"/>
    </xf>
    <xf numFmtId="2" fontId="15" fillId="0" borderId="19" xfId="34" applyNumberFormat="1" applyFont="1" applyFill="1" applyBorder="1" applyAlignment="1">
      <alignment horizontal="center" vertical="center" wrapText="1"/>
    </xf>
    <xf numFmtId="167" fontId="15" fillId="0" borderId="19" xfId="34" applyNumberFormat="1" applyFont="1" applyFill="1" applyBorder="1" applyAlignment="1">
      <alignment horizontal="center" vertical="center" wrapText="1"/>
    </xf>
    <xf numFmtId="2" fontId="7" fillId="0" borderId="28" xfId="34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/>
    </xf>
    <xf numFmtId="0" fontId="15" fillId="0" borderId="19" xfId="34" applyFont="1" applyFill="1" applyBorder="1" applyAlignment="1">
      <alignment horizontal="center" vertical="center" wrapText="1"/>
    </xf>
    <xf numFmtId="0" fontId="7" fillId="0" borderId="28" xfId="34" applyFont="1" applyFill="1" applyBorder="1" applyAlignment="1">
      <alignment horizontal="center" vertical="center"/>
    </xf>
    <xf numFmtId="0" fontId="7" fillId="0" borderId="19" xfId="34" applyFont="1" applyFill="1" applyBorder="1" applyAlignment="1">
      <alignment horizontal="center" vertical="center"/>
    </xf>
    <xf numFmtId="0" fontId="42" fillId="3" borderId="29" xfId="34" applyFont="1" applyFill="1" applyBorder="1" applyAlignment="1">
      <alignment horizontal="left" vertical="top" wrapText="1"/>
    </xf>
    <xf numFmtId="0" fontId="15" fillId="3" borderId="28" xfId="34" applyFont="1" applyFill="1" applyBorder="1" applyAlignment="1">
      <alignment horizontal="center" vertical="center"/>
    </xf>
    <xf numFmtId="0" fontId="15" fillId="3" borderId="28" xfId="38" applyFont="1" applyFill="1" applyBorder="1" applyAlignment="1">
      <alignment horizontal="center" vertical="center" wrapText="1"/>
    </xf>
    <xf numFmtId="0" fontId="76" fillId="3" borderId="28" xfId="34" applyFont="1" applyFill="1" applyBorder="1" applyAlignment="1">
      <alignment horizontal="center" vertical="center"/>
    </xf>
    <xf numFmtId="167" fontId="15" fillId="3" borderId="28" xfId="34" applyNumberFormat="1" applyFont="1" applyFill="1" applyBorder="1" applyAlignment="1">
      <alignment horizontal="center" vertical="center" wrapText="1"/>
    </xf>
    <xf numFmtId="0" fontId="76" fillId="2" borderId="0" xfId="34" applyFont="1" applyFill="1"/>
    <xf numFmtId="0" fontId="7" fillId="0" borderId="29" xfId="35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28" xfId="74" applyFont="1" applyBorder="1" applyAlignment="1">
      <alignment horizontal="left" vertical="center"/>
    </xf>
    <xf numFmtId="0" fontId="11" fillId="0" borderId="28" xfId="74" applyFont="1" applyBorder="1" applyAlignment="1">
      <alignment horizontal="center" vertical="center"/>
    </xf>
    <xf numFmtId="0" fontId="15" fillId="3" borderId="0" xfId="34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vertical="center" wrapText="1"/>
    </xf>
    <xf numFmtId="0" fontId="7" fillId="3" borderId="28" xfId="34" applyFont="1" applyFill="1" applyBorder="1" applyAlignment="1">
      <alignment horizontal="center" vertical="center"/>
    </xf>
    <xf numFmtId="0" fontId="15" fillId="3" borderId="19" xfId="34" applyFont="1" applyFill="1" applyBorder="1" applyAlignment="1">
      <alignment horizontal="center" vertical="center"/>
    </xf>
    <xf numFmtId="0" fontId="7" fillId="3" borderId="19" xfId="34" applyFont="1" applyFill="1" applyBorder="1" applyAlignment="1">
      <alignment horizontal="center" vertical="center" wrapText="1"/>
    </xf>
    <xf numFmtId="2" fontId="15" fillId="3" borderId="19" xfId="34" applyNumberFormat="1" applyFont="1" applyFill="1" applyBorder="1" applyAlignment="1">
      <alignment horizontal="center" vertical="center" wrapText="1"/>
    </xf>
    <xf numFmtId="167" fontId="15" fillId="3" borderId="19" xfId="34" applyNumberFormat="1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left" vertical="center"/>
    </xf>
    <xf numFmtId="0" fontId="15" fillId="3" borderId="28" xfId="33" applyFont="1" applyFill="1" applyBorder="1" applyAlignment="1">
      <alignment horizontal="center" vertical="center" wrapText="1"/>
    </xf>
    <xf numFmtId="2" fontId="15" fillId="3" borderId="28" xfId="0" applyNumberFormat="1" applyFont="1" applyFill="1" applyBorder="1" applyAlignment="1">
      <alignment horizontal="center" vertical="center" wrapText="1"/>
    </xf>
    <xf numFmtId="0" fontId="7" fillId="0" borderId="28" xfId="33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0" xfId="33" applyFont="1" applyFill="1" applyBorder="1" applyAlignment="1">
      <alignment horizontal="left" vertical="center" wrapText="1"/>
    </xf>
    <xf numFmtId="0" fontId="15" fillId="3" borderId="30" xfId="33" applyFont="1" applyFill="1" applyBorder="1" applyAlignment="1">
      <alignment horizontal="center" vertical="center" wrapText="1"/>
    </xf>
    <xf numFmtId="2" fontId="15" fillId="3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33" applyFont="1" applyFill="1" applyBorder="1" applyAlignment="1">
      <alignment horizontal="left" vertical="center" wrapText="1"/>
    </xf>
    <xf numFmtId="0" fontId="7" fillId="0" borderId="30" xfId="33" applyFont="1" applyFill="1" applyBorder="1" applyAlignment="1">
      <alignment horizontal="center" vertical="center" wrapText="1"/>
    </xf>
    <xf numFmtId="2" fontId="7" fillId="0" borderId="30" xfId="33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170" fontId="7" fillId="0" borderId="30" xfId="0" applyNumberFormat="1" applyFont="1" applyFill="1" applyBorder="1" applyAlignment="1">
      <alignment horizontal="center" vertical="center" wrapText="1"/>
    </xf>
    <xf numFmtId="167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2" fontId="2" fillId="3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0" xfId="33" applyFont="1" applyFill="1" applyBorder="1" applyAlignment="1">
      <alignment horizontal="center" vertical="center"/>
    </xf>
    <xf numFmtId="2" fontId="7" fillId="0" borderId="30" xfId="33" applyNumberFormat="1" applyFont="1" applyFill="1" applyBorder="1" applyAlignment="1">
      <alignment horizontal="center" vertical="center"/>
    </xf>
    <xf numFmtId="0" fontId="7" fillId="0" borderId="30" xfId="33" applyFont="1" applyFill="1" applyBorder="1" applyAlignment="1">
      <alignment vertical="center" wrapText="1"/>
    </xf>
    <xf numFmtId="167" fontId="15" fillId="3" borderId="30" xfId="0" applyNumberFormat="1" applyFont="1" applyFill="1" applyBorder="1" applyAlignment="1">
      <alignment horizontal="center" vertical="center" wrapText="1"/>
    </xf>
    <xf numFmtId="0" fontId="7" fillId="0" borderId="30" xfId="65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2" fontId="15" fillId="3" borderId="30" xfId="0" applyNumberFormat="1" applyFont="1" applyFill="1" applyBorder="1" applyAlignment="1">
      <alignment horizontal="center" vertical="center"/>
    </xf>
    <xf numFmtId="166" fontId="7" fillId="0" borderId="30" xfId="33" applyNumberFormat="1" applyFont="1" applyFill="1" applyBorder="1" applyAlignment="1">
      <alignment horizontal="center" vertical="center"/>
    </xf>
    <xf numFmtId="2" fontId="7" fillId="0" borderId="30" xfId="46" applyNumberFormat="1" applyFont="1" applyFill="1" applyBorder="1" applyAlignment="1">
      <alignment horizontal="center" vertical="center" wrapText="1"/>
    </xf>
    <xf numFmtId="166" fontId="6" fillId="0" borderId="30" xfId="0" applyNumberFormat="1" applyFont="1" applyFill="1" applyBorder="1" applyAlignment="1">
      <alignment horizontal="center" vertical="center"/>
    </xf>
    <xf numFmtId="2" fontId="15" fillId="3" borderId="1" xfId="12" applyNumberFormat="1" applyFont="1" applyFill="1" applyBorder="1" applyAlignment="1">
      <alignment horizontal="center" vertical="center"/>
    </xf>
    <xf numFmtId="166" fontId="7" fillId="0" borderId="30" xfId="33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/>
    </xf>
    <xf numFmtId="2" fontId="23" fillId="0" borderId="1" xfId="0" applyNumberFormat="1" applyFont="1" applyFill="1" applyBorder="1" applyAlignment="1">
      <alignment horizontal="center" vertical="center"/>
    </xf>
    <xf numFmtId="0" fontId="7" fillId="0" borderId="30" xfId="25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0" xfId="35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5" fillId="3" borderId="18" xfId="55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 wrapText="1"/>
    </xf>
    <xf numFmtId="1" fontId="15" fillId="3" borderId="30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vertical="center"/>
    </xf>
    <xf numFmtId="0" fontId="79" fillId="2" borderId="0" xfId="0" applyFont="1" applyFill="1"/>
    <xf numFmtId="0" fontId="7" fillId="0" borderId="30" xfId="35" applyFont="1" applyFill="1" applyBorder="1" applyAlignment="1">
      <alignment vertical="center" wrapText="1"/>
    </xf>
    <xf numFmtId="0" fontId="7" fillId="0" borderId="30" xfId="33" applyNumberFormat="1" applyFont="1" applyFill="1" applyBorder="1" applyAlignment="1">
      <alignment horizontal="center" vertical="center"/>
    </xf>
    <xf numFmtId="2" fontId="7" fillId="0" borderId="30" xfId="25" applyNumberFormat="1" applyFont="1" applyFill="1" applyBorder="1" applyAlignment="1">
      <alignment horizontal="center" vertical="center" wrapText="1"/>
    </xf>
    <xf numFmtId="2" fontId="7" fillId="0" borderId="30" xfId="25" applyNumberFormat="1" applyFont="1" applyFill="1" applyBorder="1" applyAlignment="1">
      <alignment horizontal="center" vertical="center"/>
    </xf>
    <xf numFmtId="0" fontId="7" fillId="0" borderId="30" xfId="25" applyFont="1" applyFill="1" applyBorder="1" applyAlignment="1">
      <alignment horizontal="center" vertical="center" wrapText="1"/>
    </xf>
    <xf numFmtId="4" fontId="7" fillId="0" borderId="30" xfId="72" applyNumberFormat="1" applyFont="1" applyFill="1" applyBorder="1" applyAlignment="1">
      <alignment horizontal="center" vertical="center" wrapText="1"/>
    </xf>
    <xf numFmtId="0" fontId="7" fillId="0" borderId="30" xfId="33" applyNumberFormat="1" applyFont="1" applyFill="1" applyBorder="1" applyAlignment="1">
      <alignment horizontal="center" vertical="center" wrapText="1"/>
    </xf>
    <xf numFmtId="0" fontId="7" fillId="0" borderId="30" xfId="35" applyFont="1" applyFill="1" applyBorder="1" applyAlignment="1">
      <alignment horizontal="center" vertical="center" wrapText="1"/>
    </xf>
    <xf numFmtId="0" fontId="15" fillId="3" borderId="30" xfId="33" applyFont="1" applyFill="1" applyBorder="1" applyAlignment="1">
      <alignment vertical="center" wrapText="1"/>
    </xf>
    <xf numFmtId="0" fontId="7" fillId="0" borderId="30" xfId="27" applyFont="1" applyFill="1" applyBorder="1" applyAlignment="1">
      <alignment horizontal="center" vertical="center"/>
    </xf>
    <xf numFmtId="166" fontId="10" fillId="0" borderId="3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 wrapText="1"/>
    </xf>
    <xf numFmtId="0" fontId="15" fillId="3" borderId="30" xfId="33" applyFont="1" applyFill="1" applyBorder="1" applyAlignment="1">
      <alignment horizontal="center" vertical="center"/>
    </xf>
    <xf numFmtId="0" fontId="7" fillId="0" borderId="30" xfId="38" applyFont="1" applyFill="1" applyBorder="1" applyAlignment="1">
      <alignment horizontal="center" vertical="center" wrapText="1"/>
    </xf>
    <xf numFmtId="166" fontId="7" fillId="0" borderId="28" xfId="0" applyNumberFormat="1" applyFont="1" applyFill="1" applyBorder="1" applyAlignment="1">
      <alignment horizontal="center" vertical="center"/>
    </xf>
    <xf numFmtId="0" fontId="7" fillId="0" borderId="28" xfId="27" applyFont="1" applyFill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vertical="center"/>
    </xf>
    <xf numFmtId="166" fontId="7" fillId="0" borderId="2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66" fontId="7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2" fontId="7" fillId="0" borderId="28" xfId="12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2" fontId="8" fillId="3" borderId="28" xfId="0" applyNumberFormat="1" applyFont="1" applyFill="1" applyBorder="1" applyAlignment="1">
      <alignment horizontal="center" vertical="center"/>
    </xf>
    <xf numFmtId="2" fontId="15" fillId="3" borderId="28" xfId="12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2" fontId="7" fillId="0" borderId="28" xfId="25" applyNumberFormat="1" applyFont="1" applyFill="1" applyBorder="1" applyAlignment="1">
      <alignment horizontal="center" vertical="center"/>
    </xf>
    <xf numFmtId="2" fontId="7" fillId="0" borderId="28" xfId="46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7" fillId="0" borderId="28" xfId="33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80" fillId="0" borderId="28" xfId="23" applyFont="1" applyFill="1" applyBorder="1" applyAlignment="1">
      <alignment horizontal="center" vertical="center"/>
    </xf>
    <xf numFmtId="0" fontId="75" fillId="0" borderId="28" xfId="23" applyFont="1" applyFill="1" applyBorder="1" applyAlignment="1">
      <alignment horizontal="left" vertical="center"/>
    </xf>
    <xf numFmtId="0" fontId="7" fillId="0" borderId="28" xfId="23" applyFont="1" applyFill="1" applyBorder="1" applyAlignment="1">
      <alignment horizontal="center" vertical="center"/>
    </xf>
    <xf numFmtId="0" fontId="7" fillId="0" borderId="28" xfId="72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/>
    </xf>
    <xf numFmtId="166" fontId="8" fillId="3" borderId="28" xfId="0" applyNumberFormat="1" applyFont="1" applyFill="1" applyBorder="1" applyAlignment="1">
      <alignment horizontal="center" vertical="center"/>
    </xf>
    <xf numFmtId="0" fontId="7" fillId="0" borderId="28" xfId="33" applyNumberFormat="1" applyFont="1" applyFill="1" applyBorder="1" applyAlignment="1">
      <alignment horizontal="center" vertical="center" wrapText="1"/>
    </xf>
    <xf numFmtId="166" fontId="7" fillId="0" borderId="28" xfId="33" applyNumberFormat="1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2" fontId="15" fillId="3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0" fontId="10" fillId="0" borderId="28" xfId="0" applyNumberFormat="1" applyFont="1" applyFill="1" applyBorder="1" applyAlignment="1">
      <alignment horizontal="center" vertical="center"/>
    </xf>
    <xf numFmtId="166" fontId="10" fillId="0" borderId="28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43" fontId="10" fillId="0" borderId="28" xfId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 wrapText="1"/>
    </xf>
    <xf numFmtId="175" fontId="2" fillId="3" borderId="28" xfId="0" applyNumberFormat="1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2" fontId="15" fillId="3" borderId="18" xfId="33" applyNumberFormat="1" applyFont="1" applyFill="1" applyBorder="1" applyAlignment="1">
      <alignment horizontal="center" vertical="center"/>
    </xf>
    <xf numFmtId="0" fontId="11" fillId="0" borderId="28" xfId="73" applyFont="1" applyFill="1" applyBorder="1" applyAlignment="1">
      <alignment horizontal="center"/>
    </xf>
    <xf numFmtId="0" fontId="15" fillId="3" borderId="28" xfId="33" applyFont="1" applyFill="1" applyBorder="1" applyAlignment="1">
      <alignment vertical="center" wrapText="1"/>
    </xf>
    <xf numFmtId="166" fontId="15" fillId="3" borderId="28" xfId="0" applyNumberFormat="1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3" borderId="28" xfId="0" applyNumberFormat="1" applyFont="1" applyFill="1" applyBorder="1" applyAlignment="1">
      <alignment horizontal="center" vertical="center"/>
    </xf>
    <xf numFmtId="166" fontId="15" fillId="3" borderId="28" xfId="0" applyNumberFormat="1" applyFont="1" applyFill="1" applyBorder="1" applyAlignment="1">
      <alignment horizontal="center" vertical="center"/>
    </xf>
    <xf numFmtId="166" fontId="15" fillId="3" borderId="28" xfId="0" applyNumberFormat="1" applyFont="1" applyFill="1" applyBorder="1" applyAlignment="1">
      <alignment vertical="center"/>
    </xf>
    <xf numFmtId="2" fontId="15" fillId="3" borderId="28" xfId="0" applyNumberFormat="1" applyFont="1" applyFill="1" applyBorder="1" applyAlignment="1">
      <alignment vertical="center"/>
    </xf>
    <xf numFmtId="166" fontId="73" fillId="0" borderId="17" xfId="0" applyNumberFormat="1" applyFont="1" applyFill="1" applyBorder="1" applyAlignment="1">
      <alignment horizontal="center" vertical="center"/>
    </xf>
    <xf numFmtId="2" fontId="73" fillId="0" borderId="24" xfId="0" applyNumberFormat="1" applyFont="1" applyFill="1" applyBorder="1" applyAlignment="1">
      <alignment horizontal="center" vertical="center"/>
    </xf>
    <xf numFmtId="43" fontId="73" fillId="0" borderId="15" xfId="0" applyNumberFormat="1" applyFont="1" applyFill="1" applyBorder="1" applyAlignment="1">
      <alignment horizontal="center" vertical="center"/>
    </xf>
    <xf numFmtId="2" fontId="7" fillId="0" borderId="26" xfId="12" applyNumberFormat="1" applyFont="1" applyFill="1" applyBorder="1" applyAlignment="1">
      <alignment horizontal="center" vertical="center"/>
    </xf>
    <xf numFmtId="173" fontId="73" fillId="0" borderId="19" xfId="0" applyNumberFormat="1" applyFont="1" applyFill="1" applyBorder="1" applyAlignment="1">
      <alignment horizontal="center" vertical="center"/>
    </xf>
    <xf numFmtId="2" fontId="73" fillId="0" borderId="20" xfId="0" applyNumberFormat="1" applyFont="1" applyFill="1" applyBorder="1" applyAlignment="1">
      <alignment horizontal="center" vertical="center"/>
    </xf>
    <xf numFmtId="178" fontId="73" fillId="0" borderId="19" xfId="0" applyNumberFormat="1" applyFont="1" applyFill="1" applyBorder="1" applyAlignment="1">
      <alignment horizontal="center" vertical="center"/>
    </xf>
    <xf numFmtId="2" fontId="7" fillId="0" borderId="24" xfId="12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5" fillId="3" borderId="30" xfId="33" applyNumberFormat="1" applyFont="1" applyFill="1" applyBorder="1" applyAlignment="1">
      <alignment horizontal="center" vertical="center" wrapText="1"/>
    </xf>
    <xf numFmtId="166" fontId="15" fillId="3" borderId="30" xfId="33" applyNumberFormat="1" applyFont="1" applyFill="1" applyBorder="1" applyAlignment="1">
      <alignment horizontal="center" vertical="center" wrapText="1"/>
    </xf>
    <xf numFmtId="166" fontId="15" fillId="3" borderId="30" xfId="0" applyNumberFormat="1" applyFont="1" applyFill="1" applyBorder="1" applyAlignment="1">
      <alignment horizontal="center" vertical="center" wrapText="1"/>
    </xf>
    <xf numFmtId="166" fontId="7" fillId="0" borderId="1" xfId="23" applyNumberFormat="1" applyFont="1" applyFill="1" applyBorder="1" applyAlignment="1">
      <alignment horizontal="center" vertical="center"/>
    </xf>
    <xf numFmtId="0" fontId="17" fillId="2" borderId="0" xfId="34" applyFont="1" applyFill="1" applyAlignment="1">
      <alignment horizontal="center" vertical="center" wrapText="1"/>
    </xf>
    <xf numFmtId="0" fontId="7" fillId="2" borderId="1" xfId="38" applyFont="1" applyFill="1" applyBorder="1" applyAlignment="1">
      <alignment horizontal="center" vertical="center" wrapText="1"/>
    </xf>
    <xf numFmtId="0" fontId="7" fillId="2" borderId="5" xfId="38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170" fontId="7" fillId="0" borderId="30" xfId="34" applyNumberFormat="1" applyFont="1" applyFill="1" applyBorder="1" applyAlignment="1">
      <alignment horizontal="center" vertical="center" wrapText="1"/>
    </xf>
    <xf numFmtId="0" fontId="7" fillId="0" borderId="30" xfId="4" applyNumberFormat="1" applyFont="1" applyFill="1" applyBorder="1" applyAlignment="1">
      <alignment horizontal="center" vertical="center" wrapText="1"/>
    </xf>
    <xf numFmtId="2" fontId="7" fillId="0" borderId="30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9" fontId="7" fillId="0" borderId="30" xfId="0" applyNumberFormat="1" applyFont="1" applyFill="1" applyBorder="1" applyAlignment="1">
      <alignment horizontal="center" vertical="center" wrapText="1"/>
    </xf>
    <xf numFmtId="2" fontId="15" fillId="0" borderId="30" xfId="0" applyNumberFormat="1" applyFont="1" applyFill="1" applyBorder="1" applyAlignment="1">
      <alignment horizontal="center" vertical="center"/>
    </xf>
    <xf numFmtId="0" fontId="7" fillId="0" borderId="30" xfId="35" applyFont="1" applyFill="1" applyBorder="1" applyAlignment="1">
      <alignment horizontal="center"/>
    </xf>
    <xf numFmtId="2" fontId="7" fillId="0" borderId="30" xfId="35" applyNumberFormat="1" applyFont="1" applyFill="1" applyBorder="1" applyAlignment="1">
      <alignment horizontal="center"/>
    </xf>
    <xf numFmtId="0" fontId="7" fillId="0" borderId="30" xfId="46" applyFont="1" applyFill="1" applyBorder="1" applyAlignment="1">
      <alignment horizontal="center" vertical="center" wrapText="1"/>
    </xf>
    <xf numFmtId="43" fontId="15" fillId="0" borderId="30" xfId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vertical="center" wrapText="1"/>
    </xf>
    <xf numFmtId="43" fontId="2" fillId="3" borderId="30" xfId="1" applyFont="1" applyFill="1" applyBorder="1" applyAlignment="1">
      <alignment vertical="center" wrapText="1"/>
    </xf>
    <xf numFmtId="0" fontId="7" fillId="0" borderId="30" xfId="35" applyFont="1" applyFill="1" applyBorder="1" applyAlignment="1">
      <alignment horizontal="left" vertical="center" wrapText="1"/>
    </xf>
    <xf numFmtId="43" fontId="7" fillId="0" borderId="30" xfId="1" applyFont="1" applyFill="1" applyBorder="1" applyAlignment="1">
      <alignment horizontal="center" vertical="center" wrapText="1"/>
    </xf>
    <xf numFmtId="170" fontId="7" fillId="0" borderId="30" xfId="35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43" fontId="3" fillId="0" borderId="30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43" fontId="5" fillId="0" borderId="30" xfId="1" applyFont="1" applyFill="1" applyBorder="1" applyAlignment="1">
      <alignment horizontal="center" vertical="center"/>
    </xf>
    <xf numFmtId="0" fontId="7" fillId="0" borderId="30" xfId="38" applyFont="1" applyFill="1" applyBorder="1" applyAlignment="1">
      <alignment horizontal="center" vertical="center"/>
    </xf>
    <xf numFmtId="166" fontId="5" fillId="0" borderId="30" xfId="0" applyNumberFormat="1" applyFont="1" applyFill="1" applyBorder="1" applyAlignment="1">
      <alignment horizontal="center" vertical="center"/>
    </xf>
    <xf numFmtId="0" fontId="7" fillId="0" borderId="30" xfId="38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2" fontId="7" fillId="0" borderId="30" xfId="38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79" fontId="11" fillId="0" borderId="30" xfId="1" applyNumberFormat="1" applyFont="1" applyFill="1" applyBorder="1" applyAlignment="1">
      <alignment horizontal="center" vertical="center" wrapText="1"/>
    </xf>
    <xf numFmtId="43" fontId="11" fillId="0" borderId="30" xfId="1" applyFont="1" applyFill="1" applyBorder="1" applyAlignment="1">
      <alignment horizontal="center" vertical="center" wrapText="1"/>
    </xf>
    <xf numFmtId="0" fontId="15" fillId="3" borderId="30" xfId="38" applyFont="1" applyFill="1" applyBorder="1" applyAlignment="1">
      <alignment horizontal="center" vertical="center" wrapText="1"/>
    </xf>
    <xf numFmtId="0" fontId="15" fillId="3" borderId="30" xfId="38" applyFont="1" applyFill="1" applyBorder="1" applyAlignment="1">
      <alignment horizontal="left" vertical="center" wrapText="1"/>
    </xf>
    <xf numFmtId="166" fontId="15" fillId="3" borderId="30" xfId="38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/>
    </xf>
    <xf numFmtId="43" fontId="5" fillId="3" borderId="30" xfId="1" applyFont="1" applyFill="1" applyBorder="1" applyAlignment="1">
      <alignment horizontal="center" vertical="center"/>
    </xf>
    <xf numFmtId="0" fontId="15" fillId="3" borderId="30" xfId="38" applyFont="1" applyFill="1" applyBorder="1" applyAlignment="1">
      <alignment horizontal="center" vertical="center"/>
    </xf>
    <xf numFmtId="2" fontId="15" fillId="3" borderId="30" xfId="38" applyNumberFormat="1" applyFont="1" applyFill="1" applyBorder="1" applyAlignment="1">
      <alignment horizontal="center" vertical="center"/>
    </xf>
    <xf numFmtId="2" fontId="5" fillId="3" borderId="30" xfId="0" applyNumberFormat="1" applyFont="1" applyFill="1" applyBorder="1" applyAlignment="1">
      <alignment horizontal="center" vertical="center"/>
    </xf>
    <xf numFmtId="4" fontId="15" fillId="3" borderId="30" xfId="72" applyNumberFormat="1" applyFont="1" applyFill="1" applyBorder="1" applyAlignment="1">
      <alignment horizontal="center" vertical="center" wrapText="1"/>
    </xf>
    <xf numFmtId="43" fontId="15" fillId="3" borderId="30" xfId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left" vertical="center"/>
    </xf>
    <xf numFmtId="4" fontId="7" fillId="0" borderId="1" xfId="38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2" fontId="7" fillId="0" borderId="30" xfId="72" applyNumberFormat="1" applyFont="1" applyFill="1" applyBorder="1" applyAlignment="1">
      <alignment horizontal="center" vertical="center" wrapText="1"/>
    </xf>
    <xf numFmtId="167" fontId="92" fillId="0" borderId="19" xfId="74" applyNumberFormat="1" applyFont="1" applyFill="1" applyBorder="1" applyAlignment="1">
      <alignment horizontal="center" vertical="center"/>
    </xf>
    <xf numFmtId="2" fontId="75" fillId="0" borderId="28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2" fontId="7" fillId="0" borderId="28" xfId="35" applyNumberFormat="1" applyFont="1" applyFill="1" applyBorder="1" applyAlignment="1">
      <alignment horizontal="center" vertical="center"/>
    </xf>
    <xf numFmtId="167" fontId="7" fillId="0" borderId="1" xfId="46" applyNumberFormat="1" applyFont="1" applyFill="1" applyBorder="1" applyAlignment="1">
      <alignment horizontal="center" vertical="center" wrapText="1"/>
    </xf>
    <xf numFmtId="2" fontId="89" fillId="0" borderId="28" xfId="0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9" xfId="38" applyFont="1" applyFill="1" applyBorder="1" applyAlignment="1">
      <alignment horizontal="center" vertical="center" wrapText="1"/>
    </xf>
    <xf numFmtId="0" fontId="11" fillId="2" borderId="31" xfId="34" applyFont="1" applyFill="1" applyBorder="1" applyAlignment="1">
      <alignment horizontal="left" vertical="center" wrapText="1"/>
    </xf>
    <xf numFmtId="4" fontId="7" fillId="2" borderId="30" xfId="3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0" fontId="15" fillId="3" borderId="30" xfId="33" applyNumberFormat="1" applyFont="1" applyFill="1" applyBorder="1" applyAlignment="1">
      <alignment horizontal="center" vertical="center"/>
    </xf>
    <xf numFmtId="0" fontId="26" fillId="0" borderId="1" xfId="3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3" fillId="0" borderId="28" xfId="0" applyNumberFormat="1" applyFont="1" applyFill="1" applyBorder="1" applyAlignment="1">
      <alignment horizontal="center" vertical="center"/>
    </xf>
    <xf numFmtId="2" fontId="15" fillId="3" borderId="30" xfId="33" applyNumberFormat="1" applyFont="1" applyFill="1" applyBorder="1" applyAlignment="1">
      <alignment horizontal="center" vertical="center"/>
    </xf>
    <xf numFmtId="0" fontId="7" fillId="0" borderId="30" xfId="55" applyFont="1" applyFill="1" applyBorder="1" applyAlignment="1">
      <alignment horizontal="center" vertical="center"/>
    </xf>
    <xf numFmtId="0" fontId="7" fillId="0" borderId="30" xfId="55" applyNumberFormat="1" applyFont="1" applyFill="1" applyBorder="1" applyAlignment="1">
      <alignment horizontal="center" vertical="center"/>
    </xf>
    <xf numFmtId="166" fontId="7" fillId="0" borderId="30" xfId="55" applyNumberFormat="1" applyFont="1" applyFill="1" applyBorder="1" applyAlignment="1">
      <alignment horizontal="center" vertical="center"/>
    </xf>
    <xf numFmtId="166" fontId="7" fillId="0" borderId="30" xfId="55" applyNumberFormat="1" applyFont="1" applyFill="1" applyBorder="1" applyAlignment="1">
      <alignment horizontal="center" vertical="center" wrapText="1"/>
    </xf>
    <xf numFmtId="2" fontId="7" fillId="0" borderId="30" xfId="55" applyNumberFormat="1" applyFont="1" applyFill="1" applyBorder="1" applyAlignment="1">
      <alignment vertical="center"/>
    </xf>
    <xf numFmtId="166" fontId="7" fillId="0" borderId="30" xfId="55" applyNumberFormat="1" applyFont="1" applyFill="1" applyBorder="1" applyAlignment="1">
      <alignment vertical="center"/>
    </xf>
    <xf numFmtId="0" fontId="10" fillId="0" borderId="30" xfId="55" applyNumberFormat="1" applyFont="1" applyFill="1" applyBorder="1" applyAlignment="1">
      <alignment vertical="center"/>
    </xf>
    <xf numFmtId="2" fontId="7" fillId="0" borderId="30" xfId="55" applyNumberFormat="1" applyFont="1" applyFill="1" applyBorder="1" applyAlignment="1">
      <alignment horizontal="center" vertical="center" wrapText="1"/>
    </xf>
    <xf numFmtId="2" fontId="7" fillId="0" borderId="30" xfId="55" applyNumberFormat="1" applyFont="1" applyFill="1" applyBorder="1" applyAlignment="1">
      <alignment horizontal="center" vertical="center"/>
    </xf>
    <xf numFmtId="0" fontId="26" fillId="0" borderId="30" xfId="33" applyFont="1" applyFill="1" applyBorder="1" applyAlignment="1">
      <alignment vertical="center" wrapText="1"/>
    </xf>
    <xf numFmtId="0" fontId="73" fillId="0" borderId="19" xfId="0" applyNumberFormat="1" applyFont="1" applyFill="1" applyBorder="1" applyAlignment="1">
      <alignment horizontal="center" vertical="center"/>
    </xf>
    <xf numFmtId="2" fontId="73" fillId="0" borderId="15" xfId="0" applyNumberFormat="1" applyFont="1" applyFill="1" applyBorder="1" applyAlignment="1">
      <alignment horizontal="center" vertical="center"/>
    </xf>
    <xf numFmtId="0" fontId="7" fillId="0" borderId="1" xfId="33" applyFont="1" applyFill="1" applyBorder="1" applyAlignment="1">
      <alignment horizontal="center" vertical="center"/>
    </xf>
    <xf numFmtId="0" fontId="80" fillId="0" borderId="1" xfId="23" applyFont="1" applyFill="1" applyBorder="1" applyAlignment="1">
      <alignment horizontal="center" vertical="center"/>
    </xf>
    <xf numFmtId="0" fontId="75" fillId="0" borderId="1" xfId="23" applyFont="1" applyFill="1" applyBorder="1" applyAlignment="1">
      <alignment horizontal="left" vertical="center"/>
    </xf>
    <xf numFmtId="2" fontId="7" fillId="0" borderId="1" xfId="25" applyNumberFormat="1" applyFont="1" applyFill="1" applyBorder="1" applyAlignment="1">
      <alignment horizontal="center" vertical="center"/>
    </xf>
    <xf numFmtId="0" fontId="26" fillId="0" borderId="1" xfId="33" applyFont="1" applyFill="1" applyBorder="1" applyAlignment="1">
      <alignment vertical="center" wrapText="1"/>
    </xf>
    <xf numFmtId="0" fontId="7" fillId="0" borderId="30" xfId="6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3" fillId="0" borderId="30" xfId="0" applyNumberFormat="1" applyFont="1" applyFill="1" applyBorder="1" applyAlignment="1">
      <alignment horizontal="center" vertical="center"/>
    </xf>
    <xf numFmtId="0" fontId="41" fillId="0" borderId="30" xfId="0" applyNumberFormat="1" applyFont="1" applyFill="1" applyBorder="1" applyAlignment="1">
      <alignment horizontal="center" vertical="center"/>
    </xf>
    <xf numFmtId="0" fontId="37" fillId="0" borderId="30" xfId="0" applyNumberFormat="1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83" fillId="0" borderId="3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7" fillId="0" borderId="30" xfId="36" applyFont="1" applyFill="1" applyBorder="1" applyAlignment="1">
      <alignment horizontal="center" vertical="center"/>
    </xf>
    <xf numFmtId="43" fontId="7" fillId="0" borderId="30" xfId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5" fillId="0" borderId="30" xfId="0" applyFont="1" applyFill="1" applyBorder="1"/>
    <xf numFmtId="0" fontId="0" fillId="0" borderId="30" xfId="0" applyBorder="1" applyAlignment="1">
      <alignment vertical="center" wrapText="1"/>
    </xf>
    <xf numFmtId="0" fontId="10" fillId="0" borderId="30" xfId="0" applyFont="1" applyFill="1" applyBorder="1" applyAlignment="1">
      <alignment wrapText="1"/>
    </xf>
    <xf numFmtId="2" fontId="89" fillId="0" borderId="30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3" fillId="3" borderId="30" xfId="0" applyFont="1" applyFill="1" applyBorder="1" applyAlignment="1">
      <alignment horizontal="center" vertical="center" wrapText="1"/>
    </xf>
    <xf numFmtId="0" fontId="93" fillId="3" borderId="30" xfId="0" applyFont="1" applyFill="1" applyBorder="1" applyAlignment="1">
      <alignment vertical="center" wrapText="1"/>
    </xf>
    <xf numFmtId="0" fontId="93" fillId="3" borderId="30" xfId="33" applyFont="1" applyFill="1" applyBorder="1" applyAlignment="1">
      <alignment horizontal="center" vertical="center" wrapText="1"/>
    </xf>
    <xf numFmtId="0" fontId="93" fillId="3" borderId="30" xfId="35" applyFont="1" applyFill="1" applyBorder="1" applyAlignment="1">
      <alignment horizontal="center"/>
    </xf>
    <xf numFmtId="2" fontId="93" fillId="3" borderId="30" xfId="33" applyNumberFormat="1" applyFont="1" applyFill="1" applyBorder="1" applyAlignment="1">
      <alignment horizontal="center" vertical="center" wrapText="1"/>
    </xf>
    <xf numFmtId="2" fontId="93" fillId="3" borderId="30" xfId="0" applyNumberFormat="1" applyFont="1" applyFill="1" applyBorder="1" applyAlignment="1">
      <alignment horizontal="center" vertical="center" wrapText="1"/>
    </xf>
    <xf numFmtId="0" fontId="95" fillId="0" borderId="0" xfId="0" applyFont="1"/>
    <xf numFmtId="0" fontId="96" fillId="0" borderId="30" xfId="0" applyFont="1" applyFill="1" applyBorder="1" applyAlignment="1">
      <alignment horizontal="center" vertical="center" wrapText="1"/>
    </xf>
    <xf numFmtId="0" fontId="96" fillId="0" borderId="30" xfId="33" applyFont="1" applyFill="1" applyBorder="1" applyAlignment="1">
      <alignment horizontal="center" vertical="center" wrapText="1"/>
    </xf>
    <xf numFmtId="2" fontId="96" fillId="0" borderId="30" xfId="0" applyNumberFormat="1" applyFont="1" applyFill="1" applyBorder="1" applyAlignment="1">
      <alignment horizontal="center" vertical="center" wrapText="1"/>
    </xf>
    <xf numFmtId="0" fontId="95" fillId="0" borderId="0" xfId="0" applyFont="1" applyFill="1"/>
    <xf numFmtId="0" fontId="96" fillId="0" borderId="30" xfId="0" applyFont="1" applyFill="1" applyBorder="1" applyAlignment="1">
      <alignment horizontal="left" vertical="center" wrapText="1"/>
    </xf>
    <xf numFmtId="0" fontId="96" fillId="0" borderId="30" xfId="35" applyFont="1" applyFill="1" applyBorder="1" applyAlignment="1">
      <alignment horizontal="center"/>
    </xf>
    <xf numFmtId="0" fontId="96" fillId="0" borderId="19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center"/>
    </xf>
    <xf numFmtId="2" fontId="7" fillId="0" borderId="30" xfId="0" applyNumberFormat="1" applyFont="1" applyFill="1" applyBorder="1"/>
    <xf numFmtId="2" fontId="7" fillId="0" borderId="30" xfId="0" applyNumberFormat="1" applyFont="1" applyFill="1" applyBorder="1" applyAlignment="1">
      <alignment vertical="center" wrapText="1"/>
    </xf>
    <xf numFmtId="0" fontId="15" fillId="3" borderId="30" xfId="0" applyFont="1" applyFill="1" applyBorder="1" applyAlignment="1">
      <alignment vertical="center" wrapText="1"/>
    </xf>
    <xf numFmtId="176" fontId="15" fillId="3" borderId="30" xfId="0" applyNumberFormat="1" applyFont="1" applyFill="1" applyBorder="1" applyAlignment="1">
      <alignment horizontal="right" vertical="center"/>
    </xf>
    <xf numFmtId="0" fontId="75" fillId="2" borderId="0" xfId="0" applyFont="1" applyFill="1"/>
    <xf numFmtId="0" fontId="7" fillId="0" borderId="30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2" fontId="15" fillId="3" borderId="30" xfId="55" applyNumberFormat="1" applyFont="1" applyFill="1" applyBorder="1" applyAlignment="1">
      <alignment horizontal="center" vertical="center"/>
    </xf>
    <xf numFmtId="166" fontId="23" fillId="0" borderId="30" xfId="0" applyNumberFormat="1" applyFont="1" applyFill="1" applyBorder="1" applyAlignment="1">
      <alignment horizontal="center" vertical="center"/>
    </xf>
    <xf numFmtId="0" fontId="10" fillId="2" borderId="0" xfId="38" applyFont="1" applyFill="1" applyAlignment="1">
      <alignment vertical="center"/>
    </xf>
    <xf numFmtId="0" fontId="10" fillId="0" borderId="30" xfId="33" applyFont="1" applyFill="1" applyBorder="1" applyAlignment="1">
      <alignment vertical="center" wrapText="1"/>
    </xf>
    <xf numFmtId="0" fontId="6" fillId="0" borderId="30" xfId="3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0" fillId="2" borderId="0" xfId="35" applyFont="1" applyFill="1" applyAlignment="1">
      <alignment vertical="center"/>
    </xf>
    <xf numFmtId="166" fontId="10" fillId="0" borderId="30" xfId="0" applyNumberFormat="1" applyFont="1" applyFill="1" applyBorder="1" applyAlignment="1">
      <alignment horizontal="center" vertical="center" wrapText="1"/>
    </xf>
    <xf numFmtId="0" fontId="15" fillId="3" borderId="30" xfId="35" applyFont="1" applyFill="1" applyBorder="1" applyAlignment="1">
      <alignment vertical="center" wrapText="1"/>
    </xf>
    <xf numFmtId="0" fontId="15" fillId="3" borderId="30" xfId="35" applyFont="1" applyFill="1" applyBorder="1" applyAlignment="1">
      <alignment horizontal="center" vertical="center" wrapText="1"/>
    </xf>
    <xf numFmtId="0" fontId="15" fillId="3" borderId="30" xfId="35" applyFont="1" applyFill="1" applyBorder="1" applyAlignment="1">
      <alignment horizontal="center"/>
    </xf>
    <xf numFmtId="2" fontId="15" fillId="3" borderId="30" xfId="35" applyNumberFormat="1" applyFont="1" applyFill="1" applyBorder="1" applyAlignment="1">
      <alignment horizontal="center"/>
    </xf>
    <xf numFmtId="0" fontId="15" fillId="3" borderId="30" xfId="46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7" fillId="2" borderId="30" xfId="33" applyFont="1" applyFill="1" applyBorder="1" applyAlignment="1">
      <alignment horizontal="left" vertical="center" wrapText="1"/>
    </xf>
    <xf numFmtId="2" fontId="7" fillId="2" borderId="30" xfId="0" applyNumberFormat="1" applyFont="1" applyFill="1" applyBorder="1" applyAlignment="1">
      <alignment horizontal="center"/>
    </xf>
    <xf numFmtId="0" fontId="7" fillId="0" borderId="30" xfId="0" applyFont="1" applyFill="1" applyBorder="1"/>
    <xf numFmtId="166" fontId="7" fillId="2" borderId="30" xfId="0" applyNumberFormat="1" applyFont="1" applyFill="1" applyBorder="1" applyAlignment="1">
      <alignment horizontal="center" vertical="center" wrapText="1"/>
    </xf>
    <xf numFmtId="2" fontId="7" fillId="2" borderId="30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 vertical="center"/>
    </xf>
    <xf numFmtId="166" fontId="7" fillId="0" borderId="30" xfId="0" applyNumberFormat="1" applyFont="1" applyFill="1" applyBorder="1" applyAlignment="1">
      <alignment horizontal="right" vertical="center"/>
    </xf>
    <xf numFmtId="166" fontId="96" fillId="0" borderId="30" xfId="33" applyNumberFormat="1" applyFont="1" applyFill="1" applyBorder="1" applyAlignment="1">
      <alignment horizontal="center" vertical="center" wrapText="1"/>
    </xf>
    <xf numFmtId="169" fontId="96" fillId="0" borderId="30" xfId="0" applyNumberFormat="1" applyFont="1" applyFill="1" applyBorder="1" applyAlignment="1">
      <alignment horizontal="right"/>
    </xf>
    <xf numFmtId="168" fontId="96" fillId="0" borderId="30" xfId="0" applyNumberFormat="1" applyFont="1" applyFill="1" applyBorder="1" applyAlignment="1">
      <alignment horizontal="right"/>
    </xf>
    <xf numFmtId="168" fontId="7" fillId="0" borderId="30" xfId="0" applyNumberFormat="1" applyFont="1" applyFill="1" applyBorder="1" applyAlignment="1">
      <alignment horizontal="right"/>
    </xf>
    <xf numFmtId="169" fontId="7" fillId="0" borderId="18" xfId="0" applyNumberFormat="1" applyFont="1" applyFill="1" applyBorder="1" applyAlignment="1">
      <alignment horizontal="right"/>
    </xf>
    <xf numFmtId="168" fontId="7" fillId="0" borderId="18" xfId="0" applyNumberFormat="1" applyFont="1" applyFill="1" applyBorder="1" applyAlignment="1">
      <alignment horizontal="right"/>
    </xf>
    <xf numFmtId="0" fontId="15" fillId="0" borderId="30" xfId="65" applyNumberFormat="1" applyFont="1" applyFill="1" applyBorder="1" applyAlignment="1">
      <alignment horizontal="center" vertical="center" wrapText="1"/>
    </xf>
    <xf numFmtId="166" fontId="6" fillId="0" borderId="3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6" fillId="0" borderId="30" xfId="65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30" xfId="65" applyNumberFormat="1" applyFont="1" applyFill="1" applyBorder="1" applyAlignment="1">
      <alignment horizontal="center" vertical="center" wrapText="1"/>
    </xf>
    <xf numFmtId="2" fontId="6" fillId="0" borderId="30" xfId="65" applyNumberFormat="1" applyFont="1" applyFill="1" applyBorder="1" applyAlignment="1">
      <alignment horizontal="center" vertical="center" wrapText="1"/>
    </xf>
    <xf numFmtId="0" fontId="98" fillId="0" borderId="30" xfId="65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166" fontId="8" fillId="0" borderId="30" xfId="65" applyNumberFormat="1" applyFont="1" applyFill="1" applyBorder="1" applyAlignment="1">
      <alignment horizontal="center" vertical="center" wrapText="1"/>
    </xf>
    <xf numFmtId="2" fontId="8" fillId="0" borderId="30" xfId="65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vertical="center" wrapText="1"/>
    </xf>
    <xf numFmtId="166" fontId="15" fillId="3" borderId="30" xfId="0" applyNumberFormat="1" applyFont="1" applyFill="1" applyBorder="1" applyAlignment="1">
      <alignment horizontal="center" vertical="center"/>
    </xf>
    <xf numFmtId="166" fontId="2" fillId="3" borderId="30" xfId="0" applyNumberFormat="1" applyFont="1" applyFill="1" applyBorder="1" applyAlignment="1">
      <alignment vertical="center" wrapText="1"/>
    </xf>
    <xf numFmtId="166" fontId="6" fillId="0" borderId="30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2" fontId="7" fillId="0" borderId="1" xfId="33" applyNumberFormat="1" applyFont="1" applyFill="1" applyBorder="1" applyAlignment="1">
      <alignment horizontal="center" vertical="center"/>
    </xf>
    <xf numFmtId="0" fontId="73" fillId="0" borderId="23" xfId="0" applyNumberFormat="1" applyFont="1" applyFill="1" applyBorder="1" applyAlignment="1">
      <alignment horizontal="center" vertical="center"/>
    </xf>
    <xf numFmtId="174" fontId="7" fillId="0" borderId="30" xfId="0" applyNumberFormat="1" applyFont="1" applyFill="1" applyBorder="1" applyAlignment="1">
      <alignment horizontal="center" vertical="center"/>
    </xf>
    <xf numFmtId="170" fontId="7" fillId="0" borderId="30" xfId="33" applyNumberFormat="1" applyFont="1" applyFill="1" applyBorder="1" applyAlignment="1">
      <alignment horizontal="center" vertical="center"/>
    </xf>
    <xf numFmtId="170" fontId="7" fillId="0" borderId="18" xfId="25" applyNumberFormat="1" applyFont="1" applyFill="1" applyBorder="1" applyAlignment="1">
      <alignment horizontal="center" vertical="center"/>
    </xf>
    <xf numFmtId="169" fontId="7" fillId="0" borderId="28" xfId="0" applyNumberFormat="1" applyFont="1" applyFill="1" applyBorder="1" applyAlignment="1">
      <alignment horizontal="right"/>
    </xf>
    <xf numFmtId="43" fontId="73" fillId="0" borderId="0" xfId="0" applyNumberFormat="1" applyFont="1" applyFill="1" applyBorder="1" applyAlignment="1">
      <alignment horizontal="center" vertical="center"/>
    </xf>
    <xf numFmtId="166" fontId="73" fillId="0" borderId="8" xfId="0" applyNumberFormat="1" applyFont="1" applyFill="1" applyBorder="1" applyAlignment="1">
      <alignment horizontal="center" vertical="center"/>
    </xf>
    <xf numFmtId="2" fontId="73" fillId="0" borderId="8" xfId="0" applyNumberFormat="1" applyFont="1" applyFill="1" applyBorder="1" applyAlignment="1">
      <alignment horizontal="center" vertical="center"/>
    </xf>
    <xf numFmtId="2" fontId="73" fillId="0" borderId="25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2" fontId="12" fillId="3" borderId="30" xfId="0" applyNumberFormat="1" applyFont="1" applyFill="1" applyBorder="1" applyAlignment="1">
      <alignment horizontal="center"/>
    </xf>
    <xf numFmtId="0" fontId="12" fillId="3" borderId="30" xfId="73" applyFont="1" applyFill="1" applyBorder="1" applyAlignment="1">
      <alignment horizontal="center"/>
    </xf>
    <xf numFmtId="167" fontId="12" fillId="3" borderId="3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166" fontId="11" fillId="0" borderId="30" xfId="0" applyNumberFormat="1" applyFont="1" applyBorder="1" applyAlignment="1">
      <alignment horizontal="center"/>
    </xf>
    <xf numFmtId="166" fontId="11" fillId="0" borderId="30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30" xfId="73" applyNumberFormat="1" applyFont="1" applyBorder="1" applyAlignment="1">
      <alignment horizontal="center"/>
    </xf>
    <xf numFmtId="0" fontId="11" fillId="0" borderId="30" xfId="73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170" fontId="11" fillId="0" borderId="30" xfId="0" applyNumberFormat="1" applyFont="1" applyBorder="1" applyAlignment="1">
      <alignment horizontal="center"/>
    </xf>
    <xf numFmtId="0" fontId="54" fillId="0" borderId="0" xfId="64" applyFont="1" applyAlignment="1">
      <alignment horizontal="center" vertical="center"/>
    </xf>
    <xf numFmtId="0" fontId="51" fillId="0" borderId="0" xfId="64" applyFont="1" applyAlignment="1">
      <alignment horizontal="center" vertical="center"/>
    </xf>
    <xf numFmtId="0" fontId="49" fillId="0" borderId="0" xfId="64" applyFont="1" applyAlignment="1">
      <alignment horizontal="center" vertical="center"/>
    </xf>
    <xf numFmtId="0" fontId="49" fillId="0" borderId="0" xfId="64" applyFont="1" applyAlignment="1">
      <alignment horizontal="right" vertical="center"/>
    </xf>
    <xf numFmtId="4" fontId="49" fillId="0" borderId="0" xfId="64" applyNumberFormat="1" applyFont="1" applyAlignment="1">
      <alignment horizontal="center" vertical="center"/>
    </xf>
    <xf numFmtId="0" fontId="50" fillId="0" borderId="0" xfId="32" applyFont="1" applyAlignment="1">
      <alignment horizontal="center" vertical="center" wrapText="1"/>
    </xf>
    <xf numFmtId="0" fontId="51" fillId="0" borderId="0" xfId="32" applyFont="1" applyAlignment="1">
      <alignment horizontal="center" vertical="center"/>
    </xf>
    <xf numFmtId="0" fontId="49" fillId="0" borderId="0" xfId="32" applyFont="1" applyAlignment="1">
      <alignment horizontal="left" vertical="center"/>
    </xf>
    <xf numFmtId="0" fontId="49" fillId="0" borderId="0" xfId="32" applyFont="1" applyAlignment="1">
      <alignment horizontal="left" vertical="center" wrapText="1"/>
    </xf>
    <xf numFmtId="0" fontId="49" fillId="0" borderId="0" xfId="32" applyFont="1" applyAlignment="1">
      <alignment horizontal="center" vertical="center"/>
    </xf>
    <xf numFmtId="0" fontId="28" fillId="0" borderId="0" xfId="32" applyFont="1" applyAlignment="1">
      <alignment horizontal="left" vertical="center" wrapText="1"/>
    </xf>
    <xf numFmtId="164" fontId="49" fillId="0" borderId="0" xfId="10" applyFont="1" applyAlignment="1">
      <alignment horizontal="center" vertical="center"/>
    </xf>
    <xf numFmtId="0" fontId="50" fillId="0" borderId="0" xfId="32" applyFont="1" applyAlignment="1">
      <alignment horizontal="left" vertical="center" wrapText="1"/>
    </xf>
    <xf numFmtId="0" fontId="17" fillId="2" borderId="0" xfId="34" applyFont="1" applyFill="1" applyAlignment="1">
      <alignment horizontal="center" vertical="center" wrapText="1"/>
    </xf>
    <xf numFmtId="0" fontId="17" fillId="2" borderId="0" xfId="38" applyFont="1" applyFill="1" applyAlignment="1">
      <alignment horizontal="center" wrapText="1"/>
    </xf>
    <xf numFmtId="0" fontId="7" fillId="2" borderId="0" xfId="38" applyFont="1" applyFill="1" applyBorder="1" applyAlignment="1">
      <alignment horizontal="right" wrapText="1"/>
    </xf>
    <xf numFmtId="0" fontId="7" fillId="2" borderId="5" xfId="38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0" fontId="7" fillId="2" borderId="6" xfId="38" applyFont="1" applyFill="1" applyBorder="1" applyAlignment="1">
      <alignment horizontal="center" vertical="center" wrapText="1"/>
    </xf>
    <xf numFmtId="0" fontId="7" fillId="2" borderId="1" xfId="3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center" vertical="center" wrapText="1"/>
    </xf>
    <xf numFmtId="175" fontId="7" fillId="0" borderId="3" xfId="0" applyNumberFormat="1" applyFont="1" applyFill="1" applyBorder="1" applyAlignment="1">
      <alignment horizontal="center" vertical="center" wrapText="1"/>
    </xf>
    <xf numFmtId="175" fontId="7" fillId="0" borderId="4" xfId="0" applyNumberFormat="1" applyFont="1" applyFill="1" applyBorder="1" applyAlignment="1">
      <alignment horizontal="center" vertical="center" wrapText="1"/>
    </xf>
    <xf numFmtId="175" fontId="7" fillId="0" borderId="7" xfId="0" applyNumberFormat="1" applyFont="1" applyFill="1" applyBorder="1" applyAlignment="1">
      <alignment horizontal="center" vertical="center" wrapText="1"/>
    </xf>
    <xf numFmtId="0" fontId="15" fillId="0" borderId="0" xfId="55" applyFont="1" applyFill="1" applyAlignment="1">
      <alignment horizontal="center" vertical="center" wrapText="1"/>
    </xf>
    <xf numFmtId="0" fontId="15" fillId="0" borderId="0" xfId="55" applyNumberFormat="1" applyFont="1" applyFill="1" applyAlignment="1">
      <alignment horizontal="center" vertical="center" wrapText="1"/>
    </xf>
    <xf numFmtId="43" fontId="15" fillId="0" borderId="0" xfId="1" applyFont="1" applyFill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</xf>
    <xf numFmtId="0" fontId="7" fillId="0" borderId="0" xfId="55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27" fillId="0" borderId="10" xfId="0" quotePrefix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</cellXfs>
  <cellStyles count="75">
    <cellStyle name="Comma" xfId="1" builtinId="3"/>
    <cellStyle name="Comma 2" xfId="14"/>
    <cellStyle name="Comma 2 2" xfId="12"/>
    <cellStyle name="Comma 2 2 2" xfId="15"/>
    <cellStyle name="Comma 2 3" xfId="13"/>
    <cellStyle name="Comma 3" xfId="16"/>
    <cellStyle name="Comma 3 2" xfId="17"/>
    <cellStyle name="Comma 4" xfId="18"/>
    <cellStyle name="Comma 5" xfId="19"/>
    <cellStyle name="Comma 6" xfId="9"/>
    <cellStyle name="Comma 6 2" xfId="6"/>
    <cellStyle name="Currency 2" xfId="11"/>
    <cellStyle name="Currency 2 2" xfId="5"/>
    <cellStyle name="Currency 2 3" xfId="8"/>
    <cellStyle name="Currency_McxeTa BOQ - File. 17.05.2010 2" xfId="10"/>
    <cellStyle name="Euro" xfId="2"/>
    <cellStyle name="Hyperlink 2" xfId="20"/>
    <cellStyle name="Hyperlink 2 2" xfId="21"/>
    <cellStyle name="Hyperlink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4 3" xfId="28"/>
    <cellStyle name="Normal 2" xfId="29"/>
    <cellStyle name="Normal 2 11" xfId="30"/>
    <cellStyle name="Normal 2 11 2" xfId="72"/>
    <cellStyle name="Normal 2 2" xfId="31"/>
    <cellStyle name="Normal 2 2 2" xfId="33"/>
    <cellStyle name="Normal 2 2 3" xfId="34"/>
    <cellStyle name="Normal 2 2 4" xfId="35"/>
    <cellStyle name="Normal 2 3" xfId="36"/>
    <cellStyle name="Normal 2 3 2" xfId="37"/>
    <cellStyle name="Normal 2 4" xfId="38"/>
    <cellStyle name="Normal 2 4 2" xfId="39"/>
    <cellStyle name="Normal 2 5" xfId="40"/>
    <cellStyle name="Normal 2_SItBOS MODINEBA" xfId="41"/>
    <cellStyle name="Normal 29" xfId="74"/>
    <cellStyle name="Normal 3" xfId="42"/>
    <cellStyle name="Normal 3 2" xfId="43"/>
    <cellStyle name="Normal 3 2 2" xfId="44"/>
    <cellStyle name="Normal 3 3" xfId="46"/>
    <cellStyle name="Normal 3 3 2" xfId="47"/>
    <cellStyle name="Normal 3 4" xfId="48"/>
    <cellStyle name="Normal 4" xfId="49"/>
    <cellStyle name="Normal 4 2" xfId="50"/>
    <cellStyle name="Normal 4 2 2" xfId="51"/>
    <cellStyle name="Normal 4 2 3" xfId="52"/>
    <cellStyle name="Normal 4 3" xfId="53"/>
    <cellStyle name="Normal 4 4" xfId="54"/>
    <cellStyle name="Normal 5" xfId="55"/>
    <cellStyle name="Normal 5 2" xfId="56"/>
    <cellStyle name="Normal 5 2 2" xfId="57"/>
    <cellStyle name="Normal 5 2 3" xfId="3"/>
    <cellStyle name="Normal 5 3" xfId="7"/>
    <cellStyle name="Normal 6" xfId="58"/>
    <cellStyle name="Normal 6 2" xfId="59"/>
    <cellStyle name="Normal 6 3" xfId="4"/>
    <cellStyle name="Normal 6 4" xfId="60"/>
    <cellStyle name="Normal 7" xfId="61"/>
    <cellStyle name="Normal 8" xfId="62"/>
    <cellStyle name="Normal 9" xfId="63"/>
    <cellStyle name="Normal_#10 saxli, samxedro kalaki(1). 30.03.2010.-Final+++" xfId="64"/>
    <cellStyle name="Normal_gare wyalsadfenigagarini" xfId="73"/>
    <cellStyle name="Normal_McxeTa BOQ - File. 17.05.2010" xfId="32"/>
    <cellStyle name="Normal_stadion-1" xfId="65"/>
    <cellStyle name="Percent 2" xfId="66"/>
    <cellStyle name="Style 1" xfId="67"/>
    <cellStyle name="Обычный 2" xfId="68"/>
    <cellStyle name="Обычный 4 2" xfId="69"/>
    <cellStyle name="Обычный_SAN2008-I" xfId="45"/>
    <cellStyle name="ჩვეულებრივი 2" xfId="70"/>
    <cellStyle name="ჩვეულებრივი 3" xfId="71"/>
  </cellStyles>
  <dxfs count="0"/>
  <tableStyles count="0" defaultTableStyle="TableStyleMedium9" defaultPivotStyle="PivotStyleLight16"/>
  <colors>
    <mruColors>
      <color rgb="FF22FC04"/>
      <color rgb="FFFF00FF"/>
      <color rgb="FFFFA285"/>
      <color rgb="FF926F00"/>
      <color rgb="FF5D2884"/>
      <color rgb="FF000000"/>
      <color rgb="FF7A5128"/>
      <color rgb="FFBEBE02"/>
      <color rgb="FFBA84B1"/>
      <color rgb="FF868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563880</xdr:colOff>
      <xdr:row>20</xdr:row>
      <xdr:rowOff>144780</xdr:rowOff>
    </xdr:from>
    <xdr:to>
      <xdr:col>8</xdr:col>
      <xdr:colOff>213360</xdr:colOff>
      <xdr:row>26</xdr:row>
      <xdr:rowOff>22860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4305300"/>
          <a:ext cx="2141220" cy="1112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9</xdr:row>
      <xdr:rowOff>213360</xdr:rowOff>
    </xdr:from>
    <xdr:to>
      <xdr:col>7</xdr:col>
      <xdr:colOff>175260</xdr:colOff>
      <xdr:row>14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" y="4351020"/>
          <a:ext cx="2141220" cy="1112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128948</xdr:colOff>
          <xdr:row>132</xdr:row>
          <xdr:rowOff>67248</xdr:rowOff>
        </xdr:from>
        <xdr:to>
          <xdr:col>12</xdr:col>
          <xdr:colOff>349928</xdr:colOff>
          <xdr:row>132</xdr:row>
          <xdr:rowOff>303468</xdr:rowOff>
        </xdr:to>
        <xdr:sp macro="" textlink="">
          <xdr:nvSpPr>
            <xdr:cNvPr id="83969" name="Control 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62</xdr:row>
      <xdr:rowOff>0</xdr:rowOff>
    </xdr:from>
    <xdr:to>
      <xdr:col>4</xdr:col>
      <xdr:colOff>2352</xdr:colOff>
      <xdr:row>65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4435" y="16794480"/>
          <a:ext cx="4257" cy="634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57</xdr:row>
      <xdr:rowOff>0</xdr:rowOff>
    </xdr:from>
    <xdr:to>
      <xdr:col>4</xdr:col>
      <xdr:colOff>2352</xdr:colOff>
      <xdr:row>60</xdr:row>
      <xdr:rowOff>62977</xdr:rowOff>
    </xdr:to>
    <xdr:pic>
      <xdr:nvPicPr>
        <xdr:cNvPr id="2" name="Picture 1" descr="C:\Users\giorgi-pc\Dropbox\Screenshots\Screenshot 2019-04-03 13.33.43.png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04435" y="15011400"/>
          <a:ext cx="4257" cy="634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128948</xdr:colOff>
          <xdr:row>270</xdr:row>
          <xdr:rowOff>6510</xdr:rowOff>
        </xdr:from>
        <xdr:to>
          <xdr:col>12</xdr:col>
          <xdr:colOff>357548</xdr:colOff>
          <xdr:row>271</xdr:row>
          <xdr:rowOff>20789</xdr:rowOff>
        </xdr:to>
        <xdr:sp macro="" textlink="">
          <xdr:nvSpPr>
            <xdr:cNvPr id="116737" name="Control 1" hidden="1">
              <a:extLst>
                <a:ext uri="{63B3BB69-23CF-44E3-9099-C40C66FF867C}">
                  <a14:compatExt spid="_x0000_s116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9"/>
  <sheetViews>
    <sheetView zoomScaleNormal="100" zoomScaleSheetLayoutView="100" workbookViewId="0">
      <selection activeCell="A11" sqref="A11:N11"/>
    </sheetView>
  </sheetViews>
  <sheetFormatPr defaultColWidth="9" defaultRowHeight="16.2"/>
  <cols>
    <col min="1" max="2" width="9.109375" style="93"/>
    <col min="3" max="3" width="9.44140625" style="93" customWidth="1"/>
    <col min="4" max="4" width="9.109375" style="93"/>
    <col min="5" max="5" width="9" style="93" customWidth="1"/>
    <col min="6" max="11" width="9.109375" style="93"/>
  </cols>
  <sheetData>
    <row r="1" spans="1:14" ht="14.4">
      <c r="A1"/>
      <c r="B1"/>
      <c r="C1"/>
      <c r="D1"/>
      <c r="E1"/>
      <c r="F1"/>
      <c r="G1"/>
      <c r="H1"/>
      <c r="I1"/>
      <c r="J1"/>
      <c r="K1"/>
    </row>
    <row r="2" spans="1:14">
      <c r="A2" s="94"/>
      <c r="B2" s="94"/>
      <c r="C2" s="94"/>
      <c r="D2" s="94"/>
      <c r="E2" s="94"/>
      <c r="F2" s="94"/>
      <c r="G2" s="94"/>
      <c r="H2" s="94"/>
      <c r="I2" s="94"/>
    </row>
    <row r="3" spans="1:14" ht="19.8">
      <c r="F3" s="1162"/>
      <c r="G3" s="1162"/>
      <c r="H3" s="1162"/>
    </row>
    <row r="10" spans="1:14" ht="22.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4" ht="19.8">
      <c r="A11" s="1163" t="s">
        <v>381</v>
      </c>
      <c r="B11" s="1163"/>
      <c r="C11" s="1163"/>
      <c r="D11" s="1163"/>
      <c r="E11" s="1163"/>
      <c r="F11" s="1163"/>
      <c r="G11" s="1163"/>
      <c r="H11" s="1163"/>
      <c r="I11" s="1163"/>
      <c r="J11" s="1163"/>
      <c r="K11" s="1163"/>
      <c r="L11" s="1163"/>
      <c r="M11" s="1163"/>
      <c r="N11" s="1163"/>
    </row>
    <row r="13" spans="1:14" ht="19.8">
      <c r="A13" s="1162" t="s">
        <v>0</v>
      </c>
      <c r="B13" s="1162"/>
      <c r="C13" s="1162"/>
      <c r="D13" s="1162"/>
      <c r="E13" s="1162"/>
      <c r="F13" s="1162"/>
      <c r="G13" s="1162"/>
      <c r="H13" s="1162"/>
      <c r="I13" s="1162"/>
      <c r="J13" s="1162"/>
      <c r="K13" s="1162"/>
      <c r="L13" s="1162"/>
      <c r="M13" s="1162"/>
      <c r="N13" s="1162"/>
    </row>
    <row r="14" spans="1:14" ht="14.4">
      <c r="A14"/>
      <c r="B14"/>
      <c r="C14"/>
      <c r="D14"/>
      <c r="E14"/>
      <c r="F14"/>
      <c r="G14"/>
      <c r="H14"/>
      <c r="I14"/>
      <c r="J14"/>
      <c r="K14"/>
    </row>
    <row r="28" spans="1:14">
      <c r="A28" s="1164" t="s">
        <v>158</v>
      </c>
      <c r="B28" s="1164"/>
      <c r="C28" s="1164"/>
      <c r="D28" s="1164"/>
      <c r="E28" s="1164"/>
      <c r="F28" s="1164"/>
      <c r="G28" s="1164"/>
      <c r="H28" s="1164"/>
      <c r="I28" s="1164"/>
      <c r="J28" s="1164"/>
      <c r="K28" s="1164"/>
      <c r="L28" s="1164"/>
      <c r="M28" s="1164"/>
      <c r="N28" s="1164"/>
    </row>
    <row r="29" spans="1:14" ht="14.4">
      <c r="A29"/>
      <c r="B29"/>
      <c r="C29"/>
      <c r="D29"/>
      <c r="E29"/>
      <c r="F29"/>
      <c r="G29"/>
      <c r="H29"/>
      <c r="I29"/>
      <c r="J29"/>
      <c r="K29"/>
    </row>
  </sheetData>
  <mergeCells count="4">
    <mergeCell ref="F3:H3"/>
    <mergeCell ref="A11:N11"/>
    <mergeCell ref="A13:N13"/>
    <mergeCell ref="A28:N28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00FF"/>
  </sheetPr>
  <dimension ref="A2:R349"/>
  <sheetViews>
    <sheetView tabSelected="1" zoomScale="103" zoomScaleNormal="103" zoomScaleSheetLayoutView="100" workbookViewId="0">
      <pane xSplit="15996" topLeftCell="N1"/>
      <selection activeCell="K2" sqref="K2"/>
      <selection pane="topRight" activeCell="M959" sqref="M959"/>
    </sheetView>
  </sheetViews>
  <sheetFormatPr defaultColWidth="9.109375" defaultRowHeight="15"/>
  <cols>
    <col min="1" max="1" width="5" style="62" customWidth="1"/>
    <col min="2" max="2" width="35.44140625" style="18" customWidth="1"/>
    <col min="3" max="3" width="8.44140625" style="51" customWidth="1"/>
    <col min="4" max="4" width="8.5546875" style="187" customWidth="1"/>
    <col min="5" max="5" width="8.6640625" style="187" customWidth="1"/>
    <col min="6" max="6" width="8.88671875" style="188" customWidth="1"/>
    <col min="7" max="7" width="10.44140625" style="188" customWidth="1"/>
    <col min="8" max="8" width="7.33203125" style="188" customWidth="1"/>
    <col min="9" max="9" width="9.33203125" style="188" customWidth="1"/>
    <col min="10" max="10" width="7.88671875" style="268" customWidth="1"/>
    <col min="11" max="11" width="9" style="188" customWidth="1"/>
    <col min="12" max="12" width="10.44140625" style="188" customWidth="1"/>
    <col min="13" max="16384" width="9.109375" style="255"/>
  </cols>
  <sheetData>
    <row r="2" spans="1:16" s="367" customFormat="1" ht="28.5" customHeight="1">
      <c r="A2" s="113"/>
      <c r="B2" s="1187" t="s">
        <v>442</v>
      </c>
      <c r="C2" s="1187"/>
      <c r="D2" s="1188"/>
      <c r="E2" s="1188"/>
      <c r="F2" s="1188"/>
      <c r="G2" s="1188"/>
      <c r="H2" s="1188"/>
      <c r="I2" s="1188"/>
      <c r="J2" s="1189"/>
      <c r="K2" s="114"/>
      <c r="L2" s="114"/>
    </row>
    <row r="3" spans="1:16" s="367" customFormat="1">
      <c r="A3" s="113"/>
      <c r="B3" s="1190" t="s">
        <v>29</v>
      </c>
      <c r="C3" s="1190"/>
      <c r="D3" s="1191"/>
      <c r="E3" s="1191"/>
      <c r="F3" s="1191"/>
      <c r="G3" s="1191"/>
      <c r="H3" s="1191"/>
      <c r="I3" s="1191"/>
      <c r="J3" s="268"/>
      <c r="K3" s="114"/>
      <c r="L3" s="114"/>
    </row>
    <row r="4" spans="1:16" s="283" customFormat="1" ht="15" customHeight="1">
      <c r="A4" s="113"/>
      <c r="B4" s="47"/>
      <c r="C4" s="65"/>
      <c r="D4" s="114"/>
      <c r="E4" s="114"/>
      <c r="F4" s="114"/>
      <c r="G4" s="114"/>
      <c r="H4" s="114"/>
      <c r="I4" s="114"/>
      <c r="J4" s="280"/>
      <c r="K4" s="114"/>
      <c r="L4" s="114"/>
    </row>
    <row r="5" spans="1:16" s="254" customFormat="1" ht="31.5" customHeight="1">
      <c r="A5" s="1182" t="s">
        <v>13</v>
      </c>
      <c r="B5" s="1182" t="s">
        <v>27</v>
      </c>
      <c r="C5" s="1182" t="s">
        <v>156</v>
      </c>
      <c r="D5" s="1183" t="s">
        <v>33</v>
      </c>
      <c r="E5" s="1184"/>
      <c r="F5" s="1192" t="s">
        <v>34</v>
      </c>
      <c r="G5" s="1192"/>
      <c r="H5" s="1192" t="s">
        <v>35</v>
      </c>
      <c r="I5" s="1192"/>
      <c r="J5" s="1193" t="s">
        <v>36</v>
      </c>
      <c r="K5" s="1192"/>
      <c r="L5" s="1185" t="s">
        <v>37</v>
      </c>
    </row>
    <row r="6" spans="1:16" s="254" customFormat="1" ht="38.4" customHeight="1">
      <c r="A6" s="1182"/>
      <c r="B6" s="1182"/>
      <c r="C6" s="1182"/>
      <c r="D6" s="1008" t="s">
        <v>38</v>
      </c>
      <c r="E6" s="1008" t="s">
        <v>88</v>
      </c>
      <c r="F6" s="1008" t="s">
        <v>39</v>
      </c>
      <c r="G6" s="1008" t="s">
        <v>40</v>
      </c>
      <c r="H6" s="1008" t="s">
        <v>39</v>
      </c>
      <c r="I6" s="1008" t="s">
        <v>40</v>
      </c>
      <c r="J6" s="1009" t="s">
        <v>39</v>
      </c>
      <c r="K6" s="1008" t="s">
        <v>40</v>
      </c>
      <c r="L6" s="1186"/>
    </row>
    <row r="7" spans="1:16" s="254" customFormat="1" ht="21" customHeight="1">
      <c r="A7" s="115">
        <v>1</v>
      </c>
      <c r="B7" s="115">
        <v>2</v>
      </c>
      <c r="C7" s="116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281">
        <v>10</v>
      </c>
      <c r="K7" s="117">
        <v>11</v>
      </c>
      <c r="L7" s="117">
        <v>12</v>
      </c>
    </row>
    <row r="8" spans="1:16">
      <c r="A8" s="116"/>
      <c r="B8" s="477" t="s">
        <v>198</v>
      </c>
      <c r="C8" s="1010"/>
      <c r="D8" s="119"/>
      <c r="E8" s="119"/>
      <c r="F8" s="119"/>
      <c r="G8" s="120"/>
      <c r="H8" s="119"/>
      <c r="I8" s="119"/>
      <c r="J8" s="119"/>
      <c r="K8" s="119"/>
      <c r="L8" s="119"/>
    </row>
    <row r="9" spans="1:16" s="197" customFormat="1">
      <c r="A9" s="368"/>
      <c r="B9" s="493" t="s">
        <v>191</v>
      </c>
      <c r="C9" s="368"/>
      <c r="D9" s="483"/>
      <c r="E9" s="433"/>
      <c r="F9" s="484"/>
      <c r="G9" s="456"/>
      <c r="H9" s="484"/>
      <c r="I9" s="369"/>
      <c r="J9" s="484"/>
      <c r="K9" s="484"/>
      <c r="L9" s="369"/>
      <c r="N9" s="284"/>
    </row>
    <row r="10" spans="1:16" s="196" customFormat="1" ht="30">
      <c r="A10" s="321">
        <v>1</v>
      </c>
      <c r="B10" s="324" t="s">
        <v>372</v>
      </c>
      <c r="C10" s="321" t="s">
        <v>146</v>
      </c>
      <c r="D10" s="325"/>
      <c r="E10" s="326">
        <v>30</v>
      </c>
      <c r="F10" s="327"/>
      <c r="G10" s="328"/>
      <c r="H10" s="327"/>
      <c r="I10" s="328"/>
      <c r="J10" s="327"/>
      <c r="K10" s="328"/>
      <c r="L10" s="328"/>
    </row>
    <row r="11" spans="1:16" s="197" customFormat="1">
      <c r="A11" s="1017"/>
      <c r="B11" s="121" t="s">
        <v>42</v>
      </c>
      <c r="C11" s="1017" t="s">
        <v>43</v>
      </c>
      <c r="D11" s="123">
        <f>0.6*1.36</f>
        <v>0.81600000000000006</v>
      </c>
      <c r="E11" s="124">
        <f>D11*E10</f>
        <v>24.48</v>
      </c>
      <c r="F11" s="125"/>
      <c r="G11" s="703"/>
      <c r="H11" s="125">
        <v>6</v>
      </c>
      <c r="I11" s="70">
        <f>H11*E11</f>
        <v>146.88</v>
      </c>
      <c r="J11" s="125"/>
      <c r="K11" s="125"/>
      <c r="L11" s="70">
        <f>K11+I11+G11</f>
        <v>146.88</v>
      </c>
    </row>
    <row r="12" spans="1:16" s="5" customFormat="1" ht="16.2">
      <c r="A12" s="1017"/>
      <c r="B12" s="121" t="s">
        <v>49</v>
      </c>
      <c r="C12" s="1017" t="s">
        <v>2</v>
      </c>
      <c r="D12" s="703">
        <f>0.7*0.0408</f>
        <v>2.8559999999999999E-2</v>
      </c>
      <c r="E12" s="125">
        <f>D12*E10</f>
        <v>0.85680000000000001</v>
      </c>
      <c r="F12" s="125"/>
      <c r="G12" s="70"/>
      <c r="H12" s="125"/>
      <c r="I12" s="70"/>
      <c r="J12" s="125">
        <v>4</v>
      </c>
      <c r="K12" s="70">
        <f>J12*E12</f>
        <v>3.4272</v>
      </c>
      <c r="L12" s="127">
        <f>K12+I12+G12</f>
        <v>3.4272</v>
      </c>
    </row>
    <row r="13" spans="1:16" s="196" customFormat="1" ht="30">
      <c r="A13" s="321">
        <v>2</v>
      </c>
      <c r="B13" s="324" t="s">
        <v>193</v>
      </c>
      <c r="C13" s="321" t="s">
        <v>146</v>
      </c>
      <c r="D13" s="325"/>
      <c r="E13" s="326">
        <v>47</v>
      </c>
      <c r="F13" s="327"/>
      <c r="G13" s="328"/>
      <c r="H13" s="327"/>
      <c r="I13" s="328"/>
      <c r="J13" s="327"/>
      <c r="K13" s="328"/>
      <c r="L13" s="328"/>
      <c r="N13" s="329"/>
    </row>
    <row r="14" spans="1:16" s="197" customFormat="1">
      <c r="A14" s="1010"/>
      <c r="B14" s="121" t="s">
        <v>42</v>
      </c>
      <c r="C14" s="1010" t="s">
        <v>43</v>
      </c>
      <c r="D14" s="123">
        <v>8.2000000000000003E-2</v>
      </c>
      <c r="E14" s="124">
        <f>D14*E13</f>
        <v>3.8540000000000001</v>
      </c>
      <c r="F14" s="125"/>
      <c r="G14" s="703"/>
      <c r="H14" s="125">
        <v>6</v>
      </c>
      <c r="I14" s="70">
        <f>H14*E14</f>
        <v>23.124000000000002</v>
      </c>
      <c r="J14" s="125"/>
      <c r="K14" s="125"/>
      <c r="L14" s="70">
        <f>K14+I14+G14</f>
        <v>23.124000000000002</v>
      </c>
      <c r="N14" s="284"/>
    </row>
    <row r="15" spans="1:16" s="5" customFormat="1" ht="16.2">
      <c r="A15" s="1010"/>
      <c r="B15" s="121" t="s">
        <v>49</v>
      </c>
      <c r="C15" s="1010" t="s">
        <v>2</v>
      </c>
      <c r="D15" s="703">
        <v>5.0000000000000001E-3</v>
      </c>
      <c r="E15" s="125">
        <f>D15*E13</f>
        <v>0.23500000000000001</v>
      </c>
      <c r="F15" s="125"/>
      <c r="G15" s="70"/>
      <c r="H15" s="125"/>
      <c r="I15" s="70"/>
      <c r="J15" s="125">
        <v>4</v>
      </c>
      <c r="K15" s="70">
        <f>J15*E15</f>
        <v>0.94000000000000006</v>
      </c>
      <c r="L15" s="127">
        <f>K15+I15+G15</f>
        <v>0.94000000000000006</v>
      </c>
      <c r="M15" s="247"/>
      <c r="N15" s="284"/>
      <c r="O15" s="247"/>
      <c r="P15" s="247"/>
    </row>
    <row r="16" spans="1:16" s="196" customFormat="1" ht="30">
      <c r="A16" s="321">
        <v>3</v>
      </c>
      <c r="B16" s="324" t="s">
        <v>164</v>
      </c>
      <c r="C16" s="321" t="s">
        <v>146</v>
      </c>
      <c r="D16" s="325"/>
      <c r="E16" s="326">
        <v>47</v>
      </c>
      <c r="F16" s="327"/>
      <c r="G16" s="328"/>
      <c r="H16" s="327"/>
      <c r="I16" s="328"/>
      <c r="J16" s="327"/>
      <c r="K16" s="328"/>
      <c r="L16" s="328"/>
      <c r="N16" s="329"/>
    </row>
    <row r="17" spans="1:18" s="197" customFormat="1">
      <c r="A17" s="1010"/>
      <c r="B17" s="121" t="s">
        <v>42</v>
      </c>
      <c r="C17" s="1010" t="s">
        <v>43</v>
      </c>
      <c r="D17" s="123">
        <f>0.6*3.1</f>
        <v>1.8599999999999999</v>
      </c>
      <c r="E17" s="124">
        <f>D17*E16</f>
        <v>87.419999999999987</v>
      </c>
      <c r="F17" s="125"/>
      <c r="G17" s="703"/>
      <c r="H17" s="125">
        <v>6</v>
      </c>
      <c r="I17" s="70">
        <f>H17*E17</f>
        <v>524.52</v>
      </c>
      <c r="J17" s="125"/>
      <c r="K17" s="125"/>
      <c r="L17" s="70">
        <f>K17+I17+G17</f>
        <v>524.52</v>
      </c>
      <c r="N17" s="284"/>
    </row>
    <row r="18" spans="1:18" s="5" customFormat="1" ht="16.2">
      <c r="A18" s="1010"/>
      <c r="B18" s="121" t="s">
        <v>49</v>
      </c>
      <c r="C18" s="1010" t="s">
        <v>2</v>
      </c>
      <c r="D18" s="703">
        <f>0.7*0.019</f>
        <v>1.3299999999999999E-2</v>
      </c>
      <c r="E18" s="125">
        <f>D18*E16</f>
        <v>0.62509999999999999</v>
      </c>
      <c r="F18" s="125"/>
      <c r="G18" s="70"/>
      <c r="H18" s="125"/>
      <c r="I18" s="70"/>
      <c r="J18" s="125">
        <v>4</v>
      </c>
      <c r="K18" s="70">
        <f>J18*E18</f>
        <v>2.5004</v>
      </c>
      <c r="L18" s="127">
        <f>K18+I18+G18</f>
        <v>2.5004</v>
      </c>
      <c r="M18" s="247"/>
      <c r="N18" s="284"/>
      <c r="O18" s="247"/>
      <c r="P18" s="247"/>
    </row>
    <row r="19" spans="1:18" s="197" customFormat="1" ht="30">
      <c r="A19" s="599">
        <v>4</v>
      </c>
      <c r="B19" s="600" t="s">
        <v>379</v>
      </c>
      <c r="C19" s="321" t="s">
        <v>146</v>
      </c>
      <c r="D19" s="604"/>
      <c r="E19" s="605">
        <v>47</v>
      </c>
      <c r="F19" s="601"/>
      <c r="G19" s="606"/>
      <c r="H19" s="601"/>
      <c r="I19" s="602"/>
      <c r="J19" s="601"/>
      <c r="K19" s="601"/>
      <c r="L19" s="602"/>
      <c r="N19" s="284"/>
    </row>
    <row r="20" spans="1:18" s="1" customFormat="1" ht="17.399999999999999">
      <c r="A20" s="814"/>
      <c r="B20" s="815" t="s">
        <v>42</v>
      </c>
      <c r="C20" s="1010" t="s">
        <v>149</v>
      </c>
      <c r="D20" s="816">
        <v>1</v>
      </c>
      <c r="E20" s="816">
        <f>D20*E19</f>
        <v>47</v>
      </c>
      <c r="F20" s="814"/>
      <c r="G20" s="814"/>
      <c r="H20" s="818">
        <v>4.5</v>
      </c>
      <c r="I20" s="818">
        <f>H20*E20</f>
        <v>211.5</v>
      </c>
      <c r="J20" s="814"/>
      <c r="K20" s="818"/>
      <c r="L20" s="818">
        <f>K20+I20+G20</f>
        <v>211.5</v>
      </c>
      <c r="M20" s="367"/>
      <c r="N20" s="367"/>
      <c r="O20" s="367"/>
      <c r="P20" s="367"/>
      <c r="Q20" s="367"/>
      <c r="R20" s="367"/>
    </row>
    <row r="21" spans="1:18" s="460" customFormat="1" ht="30">
      <c r="A21" s="368"/>
      <c r="B21" s="897" t="s">
        <v>317</v>
      </c>
      <c r="C21" s="432" t="s">
        <v>276</v>
      </c>
      <c r="D21" s="449"/>
      <c r="E21" s="442">
        <v>1</v>
      </c>
      <c r="F21" s="369"/>
      <c r="G21" s="369"/>
      <c r="H21" s="369"/>
      <c r="I21" s="369"/>
      <c r="J21" s="369">
        <v>423.73</v>
      </c>
      <c r="K21" s="369">
        <f>J21*E21</f>
        <v>423.73</v>
      </c>
      <c r="L21" s="818">
        <f>K21+I21+G21</f>
        <v>423.73</v>
      </c>
    </row>
    <row r="22" spans="1:18" s="460" customFormat="1">
      <c r="A22" s="1017"/>
      <c r="B22" s="121" t="s">
        <v>356</v>
      </c>
      <c r="C22" s="122" t="s">
        <v>323</v>
      </c>
      <c r="D22" s="1036"/>
      <c r="E22" s="1137">
        <v>1</v>
      </c>
      <c r="F22" s="70"/>
      <c r="G22" s="70"/>
      <c r="H22" s="70"/>
      <c r="I22" s="70"/>
      <c r="J22" s="70">
        <v>250</v>
      </c>
      <c r="K22" s="369">
        <f>J22*E22</f>
        <v>250</v>
      </c>
      <c r="L22" s="818">
        <f>K22+I22+G22</f>
        <v>250</v>
      </c>
    </row>
    <row r="23" spans="1:18" s="293" customFormat="1" ht="30">
      <c r="A23" s="599">
        <v>5</v>
      </c>
      <c r="B23" s="600" t="s">
        <v>316</v>
      </c>
      <c r="C23" s="599" t="s">
        <v>47</v>
      </c>
      <c r="D23" s="604"/>
      <c r="E23" s="605">
        <v>0.72499999999999998</v>
      </c>
      <c r="F23" s="601"/>
      <c r="G23" s="606"/>
      <c r="H23" s="601"/>
      <c r="I23" s="602"/>
      <c r="J23" s="601"/>
      <c r="K23" s="601"/>
      <c r="L23" s="602"/>
      <c r="N23" s="329"/>
    </row>
    <row r="24" spans="1:18" s="197" customFormat="1">
      <c r="A24" s="1010"/>
      <c r="B24" s="121" t="s">
        <v>42</v>
      </c>
      <c r="C24" s="1010" t="s">
        <v>43</v>
      </c>
      <c r="D24" s="123">
        <f>0.6*9.15</f>
        <v>5.49</v>
      </c>
      <c r="E24" s="124">
        <f>D24*E23</f>
        <v>3.9802499999999998</v>
      </c>
      <c r="F24" s="125"/>
      <c r="G24" s="703"/>
      <c r="H24" s="125">
        <v>6</v>
      </c>
      <c r="I24" s="70">
        <f>H24*E24</f>
        <v>23.881499999999999</v>
      </c>
      <c r="J24" s="125"/>
      <c r="K24" s="125"/>
      <c r="L24" s="70">
        <f>K24+I24+G24</f>
        <v>23.881499999999999</v>
      </c>
      <c r="N24" s="284"/>
    </row>
    <row r="25" spans="1:18" s="197" customFormat="1">
      <c r="A25" s="730"/>
      <c r="B25" s="897" t="s">
        <v>317</v>
      </c>
      <c r="C25" s="730" t="s">
        <v>44</v>
      </c>
      <c r="D25" s="905">
        <f>0.7*0.6</f>
        <v>0.42</v>
      </c>
      <c r="E25" s="906">
        <f>D25*E23</f>
        <v>0.30449999999999999</v>
      </c>
      <c r="F25" s="881"/>
      <c r="G25" s="898"/>
      <c r="H25" s="881"/>
      <c r="I25" s="707"/>
      <c r="J25" s="881">
        <v>49.67</v>
      </c>
      <c r="K25" s="70">
        <f>J25*E25</f>
        <v>15.124515000000001</v>
      </c>
      <c r="L25" s="127">
        <f>K25+I25+G25</f>
        <v>15.124515000000001</v>
      </c>
      <c r="N25" s="284"/>
    </row>
    <row r="26" spans="1:18" s="460" customFormat="1">
      <c r="A26" s="1017"/>
      <c r="B26" s="121" t="s">
        <v>356</v>
      </c>
      <c r="C26" s="122" t="s">
        <v>323</v>
      </c>
      <c r="D26" s="1036"/>
      <c r="E26" s="1137">
        <v>1</v>
      </c>
      <c r="F26" s="70"/>
      <c r="G26" s="70"/>
      <c r="H26" s="70"/>
      <c r="I26" s="70"/>
      <c r="J26" s="70">
        <v>250</v>
      </c>
      <c r="K26" s="369">
        <f>J26*E26</f>
        <v>250</v>
      </c>
      <c r="L26" s="818">
        <f>K26+I26+G26</f>
        <v>250</v>
      </c>
    </row>
    <row r="27" spans="1:18" s="285" customFormat="1" ht="30">
      <c r="A27" s="311">
        <v>6</v>
      </c>
      <c r="B27" s="330" t="s">
        <v>197</v>
      </c>
      <c r="C27" s="321" t="s">
        <v>146</v>
      </c>
      <c r="D27" s="311"/>
      <c r="E27" s="327">
        <v>8</v>
      </c>
      <c r="F27" s="327"/>
      <c r="G27" s="328"/>
      <c r="H27" s="327"/>
      <c r="I27" s="328"/>
      <c r="J27" s="327"/>
      <c r="K27" s="328"/>
      <c r="L27" s="328"/>
      <c r="N27" s="284"/>
    </row>
    <row r="28" spans="1:18" s="197" customFormat="1">
      <c r="A28" s="1010"/>
      <c r="B28" s="121" t="s">
        <v>42</v>
      </c>
      <c r="C28" s="1010" t="s">
        <v>43</v>
      </c>
      <c r="D28" s="123">
        <v>0.32300000000000001</v>
      </c>
      <c r="E28" s="124">
        <f>D28*E27</f>
        <v>2.5840000000000001</v>
      </c>
      <c r="F28" s="125"/>
      <c r="G28" s="703"/>
      <c r="H28" s="125">
        <v>6</v>
      </c>
      <c r="I28" s="70">
        <f>H28*E28</f>
        <v>15.504000000000001</v>
      </c>
      <c r="J28" s="125"/>
      <c r="K28" s="125"/>
      <c r="L28" s="70">
        <f>K28+I28+G28</f>
        <v>15.504000000000001</v>
      </c>
      <c r="N28" s="284"/>
    </row>
    <row r="29" spans="1:18" s="5" customFormat="1" ht="16.2">
      <c r="A29" s="1010"/>
      <c r="B29" s="121" t="s">
        <v>49</v>
      </c>
      <c r="C29" s="1010" t="s">
        <v>2</v>
      </c>
      <c r="D29" s="703">
        <v>2.1499999999999998E-2</v>
      </c>
      <c r="E29" s="125">
        <f>D29*E27</f>
        <v>0.17199999999999999</v>
      </c>
      <c r="F29" s="125"/>
      <c r="G29" s="70"/>
      <c r="H29" s="125"/>
      <c r="I29" s="70"/>
      <c r="J29" s="125">
        <v>4</v>
      </c>
      <c r="K29" s="70">
        <f>J29*E29</f>
        <v>0.68799999999999994</v>
      </c>
      <c r="L29" s="127">
        <f>K29+I29+G29</f>
        <v>0.68799999999999994</v>
      </c>
      <c r="M29" s="247"/>
      <c r="N29" s="284"/>
      <c r="O29" s="247"/>
      <c r="P29" s="247"/>
    </row>
    <row r="30" spans="1:18" s="285" customFormat="1" ht="30">
      <c r="A30" s="311">
        <v>7</v>
      </c>
      <c r="B30" s="330" t="s">
        <v>163</v>
      </c>
      <c r="C30" s="321" t="s">
        <v>146</v>
      </c>
      <c r="D30" s="311"/>
      <c r="E30" s="327">
        <v>8</v>
      </c>
      <c r="F30" s="327"/>
      <c r="G30" s="328"/>
      <c r="H30" s="327"/>
      <c r="I30" s="328"/>
      <c r="J30" s="327"/>
      <c r="K30" s="328"/>
      <c r="L30" s="328"/>
      <c r="N30" s="284"/>
    </row>
    <row r="31" spans="1:18" s="197" customFormat="1">
      <c r="A31" s="1010"/>
      <c r="B31" s="121" t="s">
        <v>42</v>
      </c>
      <c r="C31" s="1010" t="s">
        <v>43</v>
      </c>
      <c r="D31" s="123">
        <v>1.1120000000000001</v>
      </c>
      <c r="E31" s="124">
        <f>D31*E30</f>
        <v>8.8960000000000008</v>
      </c>
      <c r="F31" s="125"/>
      <c r="G31" s="703"/>
      <c r="H31" s="125">
        <v>6</v>
      </c>
      <c r="I31" s="70">
        <f>H31*E31</f>
        <v>53.376000000000005</v>
      </c>
      <c r="J31" s="125"/>
      <c r="K31" s="125"/>
      <c r="L31" s="70">
        <f>K31+I31+G31</f>
        <v>53.376000000000005</v>
      </c>
      <c r="N31" s="284"/>
    </row>
    <row r="32" spans="1:18" s="197" customFormat="1">
      <c r="A32" s="730"/>
      <c r="B32" s="897" t="s">
        <v>302</v>
      </c>
      <c r="C32" s="730" t="s">
        <v>44</v>
      </c>
      <c r="D32" s="905">
        <v>0.38400000000000001</v>
      </c>
      <c r="E32" s="906">
        <f>D32*E30</f>
        <v>3.0720000000000001</v>
      </c>
      <c r="F32" s="881"/>
      <c r="G32" s="898"/>
      <c r="H32" s="881"/>
      <c r="I32" s="707"/>
      <c r="J32" s="881">
        <v>7.41</v>
      </c>
      <c r="K32" s="70">
        <f>J32*E32</f>
        <v>22.76352</v>
      </c>
      <c r="L32" s="127">
        <f>K32+I32+G32</f>
        <v>22.76352</v>
      </c>
      <c r="N32" s="284"/>
    </row>
    <row r="33" spans="1:16" s="197" customFormat="1">
      <c r="A33" s="730"/>
      <c r="B33" s="897" t="s">
        <v>303</v>
      </c>
      <c r="C33" s="730" t="s">
        <v>44</v>
      </c>
      <c r="D33" s="905">
        <v>0.38400000000000001</v>
      </c>
      <c r="E33" s="906">
        <f>D33*E30</f>
        <v>3.0720000000000001</v>
      </c>
      <c r="F33" s="881"/>
      <c r="G33" s="898"/>
      <c r="H33" s="881"/>
      <c r="I33" s="707"/>
      <c r="J33" s="881">
        <v>28.62</v>
      </c>
      <c r="K33" s="70">
        <f>J33*E33</f>
        <v>87.920640000000006</v>
      </c>
      <c r="L33" s="127">
        <f>K33+I33+G33</f>
        <v>87.920640000000006</v>
      </c>
      <c r="N33" s="284"/>
    </row>
    <row r="34" spans="1:16" s="293" customFormat="1" ht="30">
      <c r="A34" s="321">
        <v>8</v>
      </c>
      <c r="B34" s="324" t="s">
        <v>209</v>
      </c>
      <c r="C34" s="321" t="s">
        <v>143</v>
      </c>
      <c r="D34" s="598"/>
      <c r="E34" s="533">
        <f>75*0.1</f>
        <v>7.5</v>
      </c>
      <c r="F34" s="327"/>
      <c r="G34" s="328"/>
      <c r="H34" s="327"/>
      <c r="I34" s="328"/>
      <c r="J34" s="327"/>
      <c r="K34" s="328"/>
      <c r="L34" s="328"/>
      <c r="N34" s="329"/>
    </row>
    <row r="35" spans="1:16" s="197" customFormat="1">
      <c r="A35" s="1010"/>
      <c r="B35" s="121" t="s">
        <v>42</v>
      </c>
      <c r="C35" s="1010" t="s">
        <v>43</v>
      </c>
      <c r="D35" s="123">
        <v>1.6</v>
      </c>
      <c r="E35" s="124">
        <f>D35*E34</f>
        <v>12</v>
      </c>
      <c r="F35" s="125"/>
      <c r="G35" s="703"/>
      <c r="H35" s="125">
        <v>6</v>
      </c>
      <c r="I35" s="70">
        <f>H35*E35</f>
        <v>72</v>
      </c>
      <c r="J35" s="125"/>
      <c r="K35" s="125"/>
      <c r="L35" s="70">
        <f>K35+I35+G35</f>
        <v>72</v>
      </c>
      <c r="N35" s="284"/>
    </row>
    <row r="36" spans="1:16" s="197" customFormat="1">
      <c r="A36" s="730"/>
      <c r="B36" s="897" t="s">
        <v>313</v>
      </c>
      <c r="C36" s="730" t="s">
        <v>44</v>
      </c>
      <c r="D36" s="905">
        <v>1.9099999999999999E-2</v>
      </c>
      <c r="E36" s="906">
        <f>D36*E34</f>
        <v>0.14324999999999999</v>
      </c>
      <c r="F36" s="881"/>
      <c r="G36" s="898"/>
      <c r="H36" s="881"/>
      <c r="I36" s="707"/>
      <c r="J36" s="822">
        <v>35.729999999999997</v>
      </c>
      <c r="K36" s="389">
        <f>J36*E36</f>
        <v>5.1183224999999988</v>
      </c>
      <c r="L36" s="369">
        <f>K36+I36+G36</f>
        <v>5.1183224999999988</v>
      </c>
      <c r="N36" s="284"/>
    </row>
    <row r="37" spans="1:16" s="197" customFormat="1">
      <c r="A37" s="730"/>
      <c r="B37" s="897" t="s">
        <v>302</v>
      </c>
      <c r="C37" s="730" t="s">
        <v>44</v>
      </c>
      <c r="D37" s="905">
        <v>0.77500000000000002</v>
      </c>
      <c r="E37" s="906">
        <f>D37*E34</f>
        <v>5.8125</v>
      </c>
      <c r="F37" s="881"/>
      <c r="G37" s="898"/>
      <c r="H37" s="881"/>
      <c r="I37" s="707"/>
      <c r="J37" s="881">
        <v>7.41</v>
      </c>
      <c r="K37" s="70">
        <f>J37*E37</f>
        <v>43.070625</v>
      </c>
      <c r="L37" s="127">
        <f>K37+I37+G37</f>
        <v>43.070625</v>
      </c>
      <c r="N37" s="284"/>
    </row>
    <row r="38" spans="1:16" s="197" customFormat="1">
      <c r="A38" s="730"/>
      <c r="B38" s="897" t="s">
        <v>303</v>
      </c>
      <c r="C38" s="730" t="s">
        <v>44</v>
      </c>
      <c r="D38" s="905">
        <v>0.38400000000000001</v>
      </c>
      <c r="E38" s="906">
        <f>D38*E34</f>
        <v>2.88</v>
      </c>
      <c r="F38" s="881"/>
      <c r="G38" s="898"/>
      <c r="H38" s="881"/>
      <c r="I38" s="707"/>
      <c r="J38" s="881">
        <v>28.62</v>
      </c>
      <c r="K38" s="70">
        <f>J38*E38</f>
        <v>82.425600000000003</v>
      </c>
      <c r="L38" s="127">
        <f>K38+I38+G38</f>
        <v>82.425600000000003</v>
      </c>
      <c r="N38" s="284"/>
    </row>
    <row r="39" spans="1:16" s="293" customFormat="1" ht="17.399999999999999">
      <c r="A39" s="321">
        <v>9</v>
      </c>
      <c r="B39" s="324" t="s">
        <v>210</v>
      </c>
      <c r="C39" s="321" t="s">
        <v>143</v>
      </c>
      <c r="D39" s="598"/>
      <c r="E39" s="533">
        <f>30*0.2</f>
        <v>6</v>
      </c>
      <c r="F39" s="327"/>
      <c r="G39" s="328"/>
      <c r="H39" s="327"/>
      <c r="I39" s="328"/>
      <c r="J39" s="327"/>
      <c r="K39" s="328"/>
      <c r="L39" s="328"/>
      <c r="N39" s="329"/>
    </row>
    <row r="40" spans="1:16" s="197" customFormat="1">
      <c r="A40" s="1010"/>
      <c r="B40" s="121" t="s">
        <v>42</v>
      </c>
      <c r="C40" s="1010" t="s">
        <v>43</v>
      </c>
      <c r="D40" s="123">
        <v>0.505</v>
      </c>
      <c r="E40" s="124">
        <f>D40*E39</f>
        <v>3.0300000000000002</v>
      </c>
      <c r="F40" s="125"/>
      <c r="G40" s="703"/>
      <c r="H40" s="125">
        <v>6</v>
      </c>
      <c r="I40" s="70">
        <f>H40*E40</f>
        <v>18.18</v>
      </c>
      <c r="J40" s="125"/>
      <c r="K40" s="125"/>
      <c r="L40" s="70">
        <f>K40+I40+G40</f>
        <v>18.18</v>
      </c>
      <c r="N40" s="284"/>
    </row>
    <row r="41" spans="1:16" s="197" customFormat="1">
      <c r="A41" s="730"/>
      <c r="B41" s="897" t="s">
        <v>314</v>
      </c>
      <c r="C41" s="730" t="s">
        <v>44</v>
      </c>
      <c r="D41" s="905">
        <v>3.4099999999999998E-2</v>
      </c>
      <c r="E41" s="906">
        <f>D41*E39</f>
        <v>0.2046</v>
      </c>
      <c r="F41" s="881"/>
      <c r="G41" s="898"/>
      <c r="H41" s="881"/>
      <c r="I41" s="707"/>
      <c r="J41" s="881">
        <v>38.82</v>
      </c>
      <c r="K41" s="70">
        <f>J41*E41</f>
        <v>7.9425720000000002</v>
      </c>
      <c r="L41" s="127">
        <f>K41+I41+G41</f>
        <v>7.9425720000000002</v>
      </c>
      <c r="N41" s="284"/>
    </row>
    <row r="42" spans="1:16" s="197" customFormat="1" ht="17.399999999999999">
      <c r="A42" s="730"/>
      <c r="B42" s="897" t="s">
        <v>315</v>
      </c>
      <c r="C42" s="730" t="s">
        <v>44</v>
      </c>
      <c r="D42" s="905">
        <v>0.10100000000000001</v>
      </c>
      <c r="E42" s="906">
        <f>D42*E39</f>
        <v>0.60600000000000009</v>
      </c>
      <c r="F42" s="881"/>
      <c r="G42" s="898"/>
      <c r="H42" s="881"/>
      <c r="I42" s="707"/>
      <c r="J42" s="881">
        <v>53.84</v>
      </c>
      <c r="K42" s="70">
        <f>J42*E42</f>
        <v>32.627040000000008</v>
      </c>
      <c r="L42" s="127">
        <f>K42+I42+G42</f>
        <v>32.627040000000008</v>
      </c>
      <c r="N42" s="284"/>
    </row>
    <row r="43" spans="1:16" s="293" customFormat="1" ht="45">
      <c r="A43" s="810">
        <v>10</v>
      </c>
      <c r="B43" s="869" t="s">
        <v>362</v>
      </c>
      <c r="C43" s="321" t="s">
        <v>143</v>
      </c>
      <c r="D43" s="938"/>
      <c r="E43" s="939">
        <f>75*0.4+30*0.27</f>
        <v>38.1</v>
      </c>
      <c r="F43" s="940"/>
      <c r="G43" s="872"/>
      <c r="H43" s="940"/>
      <c r="I43" s="813"/>
      <c r="J43" s="940"/>
      <c r="K43" s="813"/>
      <c r="L43" s="841"/>
      <c r="N43" s="329"/>
    </row>
    <row r="44" spans="1:16" s="197" customFormat="1">
      <c r="A44" s="1017"/>
      <c r="B44" s="121" t="s">
        <v>42</v>
      </c>
      <c r="C44" s="1017" t="s">
        <v>43</v>
      </c>
      <c r="D44" s="123">
        <v>0.14499999999999999</v>
      </c>
      <c r="E44" s="124">
        <f>D44*E43</f>
        <v>5.5244999999999997</v>
      </c>
      <c r="F44" s="125"/>
      <c r="G44" s="703"/>
      <c r="H44" s="125">
        <v>6</v>
      </c>
      <c r="I44" s="70">
        <f>H44*E44</f>
        <v>33.146999999999998</v>
      </c>
      <c r="J44" s="125"/>
      <c r="K44" s="125"/>
      <c r="L44" s="70">
        <f>K44+I44+G44</f>
        <v>33.146999999999998</v>
      </c>
      <c r="N44" s="284"/>
    </row>
    <row r="45" spans="1:16" s="197" customFormat="1">
      <c r="A45" s="730"/>
      <c r="B45" s="897" t="s">
        <v>313</v>
      </c>
      <c r="C45" s="730" t="s">
        <v>44</v>
      </c>
      <c r="D45" s="905">
        <v>3.1800000000000002E-2</v>
      </c>
      <c r="E45" s="906">
        <f>D45*E43</f>
        <v>1.2115800000000001</v>
      </c>
      <c r="F45" s="881"/>
      <c r="G45" s="898"/>
      <c r="H45" s="881"/>
      <c r="I45" s="707"/>
      <c r="J45" s="822">
        <v>35.729999999999997</v>
      </c>
      <c r="K45" s="389">
        <f>J45*E45</f>
        <v>43.289753400000002</v>
      </c>
      <c r="L45" s="369">
        <f>K45+I45+G45</f>
        <v>43.289753400000002</v>
      </c>
      <c r="N45" s="284"/>
    </row>
    <row r="46" spans="1:16" s="11" customFormat="1">
      <c r="A46" s="1017"/>
      <c r="B46" s="121" t="s">
        <v>45</v>
      </c>
      <c r="C46" s="122" t="s">
        <v>2</v>
      </c>
      <c r="D46" s="133">
        <v>1.4500000000000001E-2</v>
      </c>
      <c r="E46" s="134">
        <f>D46*E44</f>
        <v>8.0105250000000003E-2</v>
      </c>
      <c r="F46" s="125"/>
      <c r="G46" s="70"/>
      <c r="H46" s="125"/>
      <c r="I46" s="70"/>
      <c r="J46" s="125">
        <v>4</v>
      </c>
      <c r="K46" s="70">
        <f>E46*J46</f>
        <v>0.32042100000000001</v>
      </c>
      <c r="L46" s="70">
        <f>K46+I46+G46</f>
        <v>0.32042100000000001</v>
      </c>
      <c r="M46" s="189"/>
      <c r="N46" s="189"/>
      <c r="O46" s="189"/>
      <c r="P46" s="189"/>
    </row>
    <row r="47" spans="1:16" s="197" customFormat="1">
      <c r="A47" s="1012"/>
      <c r="B47" s="592"/>
      <c r="C47" s="1012"/>
      <c r="D47" s="593"/>
      <c r="E47" s="603"/>
      <c r="F47" s="594"/>
      <c r="G47" s="595"/>
      <c r="H47" s="594"/>
      <c r="I47" s="596"/>
      <c r="J47" s="594"/>
      <c r="K47" s="594"/>
      <c r="L47" s="596"/>
      <c r="N47" s="284"/>
    </row>
    <row r="48" spans="1:16" s="197" customFormat="1">
      <c r="A48" s="1012"/>
      <c r="B48" s="607" t="s">
        <v>192</v>
      </c>
      <c r="C48" s="1012"/>
      <c r="D48" s="593"/>
      <c r="E48" s="603"/>
      <c r="F48" s="594"/>
      <c r="G48" s="595"/>
      <c r="H48" s="594"/>
      <c r="I48" s="596"/>
      <c r="J48" s="594"/>
      <c r="K48" s="594"/>
      <c r="L48" s="596"/>
      <c r="N48" s="284"/>
    </row>
    <row r="49" spans="1:16" s="285" customFormat="1" ht="30">
      <c r="A49" s="321">
        <v>11</v>
      </c>
      <c r="B49" s="312" t="s">
        <v>200</v>
      </c>
      <c r="C49" s="321" t="s">
        <v>146</v>
      </c>
      <c r="D49" s="468"/>
      <c r="E49" s="327">
        <f>23.8*2.2</f>
        <v>52.360000000000007</v>
      </c>
      <c r="F49" s="327"/>
      <c r="G49" s="328"/>
      <c r="H49" s="327"/>
      <c r="I49" s="328"/>
      <c r="J49" s="327"/>
      <c r="K49" s="328"/>
      <c r="L49" s="328"/>
      <c r="N49" s="284"/>
    </row>
    <row r="50" spans="1:16" s="197" customFormat="1" ht="17.399999999999999">
      <c r="A50" s="1010"/>
      <c r="B50" s="121" t="s">
        <v>42</v>
      </c>
      <c r="C50" s="1010" t="s">
        <v>138</v>
      </c>
      <c r="D50" s="123">
        <v>1</v>
      </c>
      <c r="E50" s="124">
        <f>D50*E49</f>
        <v>52.360000000000007</v>
      </c>
      <c r="F50" s="125"/>
      <c r="G50" s="703"/>
      <c r="H50" s="125">
        <v>5</v>
      </c>
      <c r="I50" s="70">
        <f>H50*E50</f>
        <v>261.8</v>
      </c>
      <c r="J50" s="125"/>
      <c r="K50" s="125"/>
      <c r="L50" s="70">
        <f>K50+I50+G50</f>
        <v>261.8</v>
      </c>
      <c r="N50" s="284"/>
    </row>
    <row r="51" spans="1:16" s="197" customFormat="1" ht="55.2">
      <c r="A51" s="916">
        <v>12</v>
      </c>
      <c r="B51" s="917" t="s">
        <v>289</v>
      </c>
      <c r="C51" s="806" t="s">
        <v>143</v>
      </c>
      <c r="D51" s="918"/>
      <c r="E51" s="531">
        <v>44.58</v>
      </c>
      <c r="F51" s="918"/>
      <c r="G51" s="919"/>
      <c r="H51" s="918"/>
      <c r="I51" s="918"/>
      <c r="J51" s="918"/>
      <c r="K51" s="918"/>
      <c r="L51" s="918"/>
    </row>
    <row r="52" spans="1:16" s="197" customFormat="1">
      <c r="A52" s="723"/>
      <c r="B52" s="897" t="s">
        <v>42</v>
      </c>
      <c r="C52" s="808" t="s">
        <v>43</v>
      </c>
      <c r="D52" s="905">
        <f>20/1000</f>
        <v>0.02</v>
      </c>
      <c r="E52" s="906">
        <f>D52*E51</f>
        <v>0.89159999999999995</v>
      </c>
      <c r="F52" s="881"/>
      <c r="G52" s="898"/>
      <c r="H52" s="881">
        <v>6</v>
      </c>
      <c r="I52" s="707">
        <f>H52*E52</f>
        <v>5.3495999999999997</v>
      </c>
      <c r="J52" s="881"/>
      <c r="K52" s="881"/>
      <c r="L52" s="707">
        <f>K52+I52+G52</f>
        <v>5.3495999999999997</v>
      </c>
      <c r="N52" s="284"/>
    </row>
    <row r="53" spans="1:16" s="197" customFormat="1" ht="28.8">
      <c r="A53" s="909"/>
      <c r="B53" s="910" t="s">
        <v>290</v>
      </c>
      <c r="C53" s="808" t="s">
        <v>44</v>
      </c>
      <c r="D53" s="911">
        <f>44.8/1000</f>
        <v>4.48E-2</v>
      </c>
      <c r="E53" s="912">
        <f>D53*E51</f>
        <v>1.9971839999999998</v>
      </c>
      <c r="F53" s="912"/>
      <c r="G53" s="911"/>
      <c r="H53" s="912"/>
      <c r="I53" s="913"/>
      <c r="J53" s="914">
        <v>47.03</v>
      </c>
      <c r="K53" s="913">
        <f>E53*J53</f>
        <v>93.927563519999993</v>
      </c>
      <c r="L53" s="913">
        <f>K53+I53+G53</f>
        <v>93.927563519999993</v>
      </c>
      <c r="N53" s="284"/>
    </row>
    <row r="54" spans="1:16" s="254" customFormat="1" ht="16.2">
      <c r="A54" s="730"/>
      <c r="B54" s="915" t="s">
        <v>45</v>
      </c>
      <c r="C54" s="808" t="s">
        <v>2</v>
      </c>
      <c r="D54" s="898">
        <f>2.1/1000</f>
        <v>2.1000000000000003E-3</v>
      </c>
      <c r="E54" s="881">
        <f>D54*E51</f>
        <v>9.3618000000000007E-2</v>
      </c>
      <c r="F54" s="881"/>
      <c r="G54" s="898"/>
      <c r="H54" s="881"/>
      <c r="I54" s="707"/>
      <c r="J54" s="881">
        <v>4</v>
      </c>
      <c r="K54" s="913">
        <f>E54*J54</f>
        <v>0.37447200000000003</v>
      </c>
      <c r="L54" s="913">
        <f>K54+I54+G54</f>
        <v>0.37447200000000003</v>
      </c>
      <c r="N54" s="284"/>
    </row>
    <row r="55" spans="1:16" s="293" customFormat="1" ht="30">
      <c r="A55" s="599">
        <v>13</v>
      </c>
      <c r="B55" s="600" t="s">
        <v>380</v>
      </c>
      <c r="C55" s="599" t="s">
        <v>47</v>
      </c>
      <c r="D55" s="604"/>
      <c r="E55" s="605">
        <f>8.58/3*2</f>
        <v>5.72</v>
      </c>
      <c r="F55" s="601"/>
      <c r="G55" s="606"/>
      <c r="H55" s="601"/>
      <c r="I55" s="602"/>
      <c r="J55" s="601"/>
      <c r="K55" s="601"/>
      <c r="L55" s="602"/>
      <c r="N55" s="329"/>
    </row>
    <row r="56" spans="1:16" s="551" customFormat="1" ht="24.6" customHeight="1">
      <c r="A56" s="557"/>
      <c r="B56" s="558" t="s">
        <v>52</v>
      </c>
      <c r="C56" s="559" t="s">
        <v>43</v>
      </c>
      <c r="D56" s="560">
        <f>16.5*0.6</f>
        <v>9.9</v>
      </c>
      <c r="E56" s="1138">
        <f>D56*E55</f>
        <v>56.628</v>
      </c>
      <c r="F56" s="561"/>
      <c r="G56" s="561"/>
      <c r="H56" s="561">
        <v>7.8</v>
      </c>
      <c r="I56" s="562">
        <f>H56*E56</f>
        <v>441.69839999999999</v>
      </c>
      <c r="J56" s="562"/>
      <c r="K56" s="562"/>
      <c r="L56" s="562">
        <f t="shared" ref="L56:L57" si="0">K56+I56+G56</f>
        <v>441.69839999999999</v>
      </c>
      <c r="M56" s="556"/>
      <c r="N56" s="556"/>
      <c r="O56" s="556"/>
      <c r="P56" s="556"/>
    </row>
    <row r="57" spans="1:16" s="514" customFormat="1" ht="14.4" customHeight="1">
      <c r="A57" s="506"/>
      <c r="B57" s="513" t="s">
        <v>294</v>
      </c>
      <c r="C57" s="509" t="s">
        <v>276</v>
      </c>
      <c r="D57" s="509"/>
      <c r="E57" s="509">
        <v>2</v>
      </c>
      <c r="F57" s="509"/>
      <c r="G57" s="393"/>
      <c r="H57" s="393"/>
      <c r="I57" s="395"/>
      <c r="J57" s="393">
        <f>49.67*8</f>
        <v>397.36</v>
      </c>
      <c r="K57" s="565">
        <f>J57*E57</f>
        <v>794.72</v>
      </c>
      <c r="L57" s="565">
        <f t="shared" si="0"/>
        <v>794.72</v>
      </c>
    </row>
    <row r="58" spans="1:16" s="514" customFormat="1" ht="14.4" customHeight="1">
      <c r="A58" s="1037"/>
      <c r="B58" s="1038" t="s">
        <v>356</v>
      </c>
      <c r="C58" s="148" t="s">
        <v>323</v>
      </c>
      <c r="D58" s="148"/>
      <c r="E58" s="148">
        <v>2</v>
      </c>
      <c r="F58" s="148"/>
      <c r="G58" s="145"/>
      <c r="H58" s="145"/>
      <c r="I58" s="1039"/>
      <c r="J58" s="145">
        <v>500</v>
      </c>
      <c r="K58" s="565">
        <f>J58*E58</f>
        <v>1000</v>
      </c>
      <c r="L58" s="565">
        <f t="shared" ref="L58" si="1">K58+I58+G58</f>
        <v>1000</v>
      </c>
    </row>
    <row r="59" spans="1:16" s="293" customFormat="1">
      <c r="A59" s="810">
        <v>14</v>
      </c>
      <c r="B59" s="869" t="s">
        <v>371</v>
      </c>
      <c r="C59" s="810" t="s">
        <v>96</v>
      </c>
      <c r="D59" s="938"/>
      <c r="E59" s="939">
        <v>1</v>
      </c>
      <c r="F59" s="940"/>
      <c r="G59" s="872"/>
      <c r="H59" s="940"/>
      <c r="I59" s="813"/>
      <c r="J59" s="940"/>
      <c r="K59" s="813"/>
      <c r="L59" s="841"/>
      <c r="N59" s="329"/>
    </row>
    <row r="60" spans="1:16" s="197" customFormat="1">
      <c r="A60" s="814"/>
      <c r="B60" s="1033" t="s">
        <v>357</v>
      </c>
      <c r="C60" s="814"/>
      <c r="D60" s="867"/>
      <c r="E60" s="846"/>
      <c r="F60" s="824"/>
      <c r="G60" s="823"/>
      <c r="H60" s="824"/>
      <c r="I60" s="818"/>
      <c r="J60" s="824"/>
      <c r="K60" s="818"/>
      <c r="L60" s="827"/>
      <c r="N60" s="284"/>
    </row>
    <row r="61" spans="1:16" s="6" customFormat="1" ht="45">
      <c r="A61" s="810">
        <v>15</v>
      </c>
      <c r="B61" s="869" t="s">
        <v>364</v>
      </c>
      <c r="C61" s="810" t="s">
        <v>47</v>
      </c>
      <c r="D61" s="872"/>
      <c r="E61" s="940">
        <v>1.681</v>
      </c>
      <c r="F61" s="940"/>
      <c r="G61" s="813"/>
      <c r="H61" s="940"/>
      <c r="I61" s="813"/>
      <c r="J61" s="940"/>
      <c r="K61" s="813"/>
      <c r="L61" s="841"/>
      <c r="M61" s="290"/>
      <c r="N61" s="329"/>
      <c r="O61" s="290"/>
      <c r="P61" s="290"/>
    </row>
    <row r="62" spans="1:16" s="197" customFormat="1">
      <c r="A62" s="1021"/>
      <c r="B62" s="121" t="s">
        <v>42</v>
      </c>
      <c r="C62" s="1021" t="s">
        <v>47</v>
      </c>
      <c r="D62" s="123">
        <v>1</v>
      </c>
      <c r="E62" s="124">
        <f>D62*E61</f>
        <v>1.681</v>
      </c>
      <c r="F62" s="125"/>
      <c r="G62" s="703"/>
      <c r="H62" s="125">
        <v>12.5</v>
      </c>
      <c r="I62" s="70">
        <f>H62*E62</f>
        <v>21.012499999999999</v>
      </c>
      <c r="J62" s="125"/>
      <c r="K62" s="125"/>
      <c r="L62" s="70">
        <f>K62+I62+G62</f>
        <v>21.012499999999999</v>
      </c>
      <c r="N62" s="284"/>
    </row>
    <row r="63" spans="1:16" s="6" customFormat="1" ht="30">
      <c r="A63" s="810">
        <v>16</v>
      </c>
      <c r="B63" s="869" t="s">
        <v>355</v>
      </c>
      <c r="C63" s="810"/>
      <c r="D63" s="872"/>
      <c r="E63" s="940"/>
      <c r="F63" s="940"/>
      <c r="G63" s="813"/>
      <c r="H63" s="940"/>
      <c r="I63" s="813"/>
      <c r="J63" s="940"/>
      <c r="K63" s="813"/>
      <c r="L63" s="841"/>
      <c r="M63" s="290"/>
      <c r="N63" s="329"/>
      <c r="O63" s="290"/>
      <c r="P63" s="290"/>
    </row>
    <row r="64" spans="1:16" s="247" customFormat="1" ht="16.2">
      <c r="A64" s="814"/>
      <c r="B64" s="835" t="s">
        <v>356</v>
      </c>
      <c r="C64" s="814" t="s">
        <v>323</v>
      </c>
      <c r="D64" s="823"/>
      <c r="E64" s="824">
        <v>1</v>
      </c>
      <c r="F64" s="824"/>
      <c r="G64" s="818"/>
      <c r="H64" s="824"/>
      <c r="I64" s="818"/>
      <c r="J64" s="824">
        <v>250</v>
      </c>
      <c r="K64" s="70">
        <f>J64*E64</f>
        <v>250</v>
      </c>
      <c r="L64" s="127">
        <f>K64+I64+G64</f>
        <v>250</v>
      </c>
      <c r="N64" s="284"/>
    </row>
    <row r="65" spans="1:16" s="6" customFormat="1" ht="45">
      <c r="A65" s="810">
        <v>17</v>
      </c>
      <c r="B65" s="869" t="s">
        <v>363</v>
      </c>
      <c r="C65" s="478" t="s">
        <v>143</v>
      </c>
      <c r="D65" s="872"/>
      <c r="E65" s="940">
        <v>49.87</v>
      </c>
      <c r="F65" s="940"/>
      <c r="G65" s="813"/>
      <c r="H65" s="940"/>
      <c r="I65" s="813"/>
      <c r="J65" s="940"/>
      <c r="K65" s="813"/>
      <c r="L65" s="841"/>
      <c r="M65" s="290"/>
      <c r="N65" s="329"/>
      <c r="O65" s="290"/>
      <c r="P65" s="290"/>
    </row>
    <row r="66" spans="1:16" s="247" customFormat="1" ht="16.2">
      <c r="A66" s="814"/>
      <c r="B66" s="835" t="s">
        <v>378</v>
      </c>
      <c r="C66" s="814" t="s">
        <v>44</v>
      </c>
      <c r="D66" s="823">
        <f>1.25*0.041</f>
        <v>5.1250000000000004E-2</v>
      </c>
      <c r="E66" s="824">
        <f>D66*E65</f>
        <v>2.5558375</v>
      </c>
      <c r="F66" s="824"/>
      <c r="G66" s="818"/>
      <c r="H66" s="824"/>
      <c r="I66" s="818"/>
      <c r="J66" s="824">
        <v>24.72</v>
      </c>
      <c r="K66" s="70">
        <f>J66*E66</f>
        <v>63.180302999999995</v>
      </c>
      <c r="L66" s="127">
        <f>K66+I66+G66</f>
        <v>63.180302999999995</v>
      </c>
      <c r="N66" s="284"/>
    </row>
    <row r="67" spans="1:16" s="6" customFormat="1" ht="30">
      <c r="A67" s="810">
        <v>18</v>
      </c>
      <c r="B67" s="869" t="s">
        <v>361</v>
      </c>
      <c r="C67" s="478" t="s">
        <v>143</v>
      </c>
      <c r="D67" s="872"/>
      <c r="E67" s="940">
        <v>49.87</v>
      </c>
      <c r="F67" s="940"/>
      <c r="G67" s="813"/>
      <c r="H67" s="940"/>
      <c r="I67" s="813"/>
      <c r="J67" s="940"/>
      <c r="K67" s="813"/>
      <c r="L67" s="841"/>
      <c r="M67" s="290"/>
      <c r="N67" s="329"/>
      <c r="O67" s="290"/>
      <c r="P67" s="290"/>
    </row>
    <row r="68" spans="1:16" s="247" customFormat="1" ht="16.2">
      <c r="A68" s="814"/>
      <c r="B68" s="835" t="s">
        <v>356</v>
      </c>
      <c r="C68" s="814" t="s">
        <v>47</v>
      </c>
      <c r="D68" s="823">
        <v>1.8</v>
      </c>
      <c r="E68" s="824">
        <f>D68*E67</f>
        <v>89.765999999999991</v>
      </c>
      <c r="F68" s="824"/>
      <c r="G68" s="818"/>
      <c r="H68" s="824"/>
      <c r="I68" s="818"/>
      <c r="J68" s="824">
        <v>11.32</v>
      </c>
      <c r="K68" s="70">
        <f>J68*E68</f>
        <v>1016.1511199999999</v>
      </c>
      <c r="L68" s="127">
        <f>K68+I68+G68</f>
        <v>1016.1511199999999</v>
      </c>
      <c r="N68" s="284"/>
    </row>
    <row r="69" spans="1:16" s="197" customFormat="1">
      <c r="A69" s="1012"/>
      <c r="B69" s="592"/>
      <c r="C69" s="1012"/>
      <c r="D69" s="593"/>
      <c r="E69" s="603"/>
      <c r="F69" s="594"/>
      <c r="G69" s="595"/>
      <c r="H69" s="594"/>
      <c r="I69" s="596"/>
      <c r="J69" s="594"/>
      <c r="K69" s="594"/>
      <c r="L69" s="596"/>
      <c r="N69" s="284"/>
    </row>
    <row r="70" spans="1:16">
      <c r="A70" s="116"/>
      <c r="B70" s="504" t="s">
        <v>199</v>
      </c>
      <c r="C70" s="1010"/>
      <c r="D70" s="120"/>
      <c r="E70" s="135"/>
      <c r="F70" s="135"/>
      <c r="G70" s="136"/>
      <c r="H70" s="135"/>
      <c r="I70" s="136"/>
      <c r="J70" s="135"/>
      <c r="K70" s="136"/>
      <c r="L70" s="136"/>
      <c r="N70" s="284"/>
    </row>
    <row r="71" spans="1:16" s="74" customFormat="1">
      <c r="A71" s="404"/>
      <c r="B71" s="493" t="s">
        <v>191</v>
      </c>
      <c r="C71" s="432"/>
      <c r="D71" s="489"/>
      <c r="E71" s="457"/>
      <c r="F71" s="457"/>
      <c r="G71" s="425"/>
      <c r="H71" s="495"/>
      <c r="I71" s="496"/>
      <c r="J71" s="495"/>
      <c r="K71" s="496"/>
      <c r="L71" s="369"/>
      <c r="M71" s="197"/>
      <c r="N71" s="284"/>
      <c r="O71" s="197"/>
      <c r="P71" s="197"/>
    </row>
    <row r="72" spans="1:16" s="10" customFormat="1" ht="45">
      <c r="A72" s="450">
        <v>19</v>
      </c>
      <c r="B72" s="312" t="s">
        <v>347</v>
      </c>
      <c r="C72" s="321" t="s">
        <v>47</v>
      </c>
      <c r="D72" s="321"/>
      <c r="E72" s="451">
        <v>2.0350000000000001</v>
      </c>
      <c r="F72" s="327"/>
      <c r="G72" s="328"/>
      <c r="H72" s="327"/>
      <c r="I72" s="328"/>
      <c r="J72" s="327"/>
      <c r="K72" s="328"/>
      <c r="L72" s="328"/>
      <c r="M72" s="69"/>
      <c r="N72" s="69"/>
      <c r="O72" s="69"/>
      <c r="P72" s="69"/>
    </row>
    <row r="73" spans="1:16" s="74" customFormat="1">
      <c r="A73" s="116"/>
      <c r="B73" s="121" t="s">
        <v>70</v>
      </c>
      <c r="C73" s="1010" t="s">
        <v>47</v>
      </c>
      <c r="D73" s="118">
        <v>1</v>
      </c>
      <c r="E73" s="124">
        <f>D73*E72</f>
        <v>2.0350000000000001</v>
      </c>
      <c r="F73" s="135"/>
      <c r="G73" s="136"/>
      <c r="H73" s="848">
        <v>1250</v>
      </c>
      <c r="I73" s="127">
        <f>H73*E73</f>
        <v>2543.75</v>
      </c>
      <c r="J73" s="135"/>
      <c r="K73" s="136"/>
      <c r="L73" s="127">
        <f t="shared" ref="L73:L80" si="2">K73+I73+G73</f>
        <v>2543.75</v>
      </c>
      <c r="M73" s="197"/>
      <c r="N73" s="284"/>
      <c r="O73" s="197"/>
      <c r="P73" s="197"/>
    </row>
    <row r="74" spans="1:16" s="5" customFormat="1" ht="16.2">
      <c r="A74" s="1010"/>
      <c r="B74" s="52" t="s">
        <v>299</v>
      </c>
      <c r="C74" s="122" t="s">
        <v>47</v>
      </c>
      <c r="D74" s="703"/>
      <c r="E74" s="125">
        <v>1.329</v>
      </c>
      <c r="F74" s="125">
        <v>2610</v>
      </c>
      <c r="G74" s="127">
        <f>F74*E74</f>
        <v>3468.69</v>
      </c>
      <c r="H74" s="101"/>
      <c r="I74" s="136"/>
      <c r="J74" s="135"/>
      <c r="K74" s="136"/>
      <c r="L74" s="127">
        <f t="shared" si="2"/>
        <v>3468.69</v>
      </c>
      <c r="M74" s="247"/>
      <c r="N74" s="247"/>
      <c r="O74" s="247"/>
      <c r="P74" s="247"/>
    </row>
    <row r="75" spans="1:16" s="11" customFormat="1">
      <c r="A75" s="1010"/>
      <c r="B75" s="121" t="s">
        <v>271</v>
      </c>
      <c r="C75" s="122" t="s">
        <v>47</v>
      </c>
      <c r="D75" s="133"/>
      <c r="E75" s="134">
        <v>0.25800000000000001</v>
      </c>
      <c r="F75" s="125">
        <v>2700</v>
      </c>
      <c r="G75" s="127">
        <f>F75*E75</f>
        <v>696.6</v>
      </c>
      <c r="H75" s="101"/>
      <c r="I75" s="136"/>
      <c r="J75" s="135"/>
      <c r="K75" s="136"/>
      <c r="L75" s="127">
        <f t="shared" si="2"/>
        <v>696.6</v>
      </c>
      <c r="M75" s="189"/>
      <c r="N75" s="189"/>
      <c r="O75" s="189"/>
      <c r="P75" s="189"/>
    </row>
    <row r="76" spans="1:16" s="74" customFormat="1">
      <c r="A76" s="116"/>
      <c r="B76" s="52" t="s">
        <v>272</v>
      </c>
      <c r="C76" s="1010" t="s">
        <v>47</v>
      </c>
      <c r="D76" s="118"/>
      <c r="E76" s="124">
        <v>0.23599999999999999</v>
      </c>
      <c r="F76" s="135">
        <v>3220</v>
      </c>
      <c r="G76" s="127">
        <f t="shared" ref="G76" si="3">F76*E76</f>
        <v>759.92</v>
      </c>
      <c r="H76" s="101"/>
      <c r="I76" s="847"/>
      <c r="J76" s="135"/>
      <c r="K76" s="136"/>
      <c r="L76" s="127">
        <f t="shared" si="2"/>
        <v>759.92</v>
      </c>
      <c r="M76" s="197"/>
      <c r="N76" s="284"/>
      <c r="O76" s="197"/>
      <c r="P76" s="197"/>
    </row>
    <row r="77" spans="1:16" s="74" customFormat="1">
      <c r="A77" s="116"/>
      <c r="B77" s="121" t="s">
        <v>274</v>
      </c>
      <c r="C77" s="1010" t="s">
        <v>47</v>
      </c>
      <c r="D77" s="703"/>
      <c r="E77" s="101">
        <v>4.3999999999999997E-2</v>
      </c>
      <c r="F77" s="101">
        <v>3240</v>
      </c>
      <c r="G77" s="127">
        <f>F77*E77</f>
        <v>142.56</v>
      </c>
      <c r="H77" s="101"/>
      <c r="I77" s="136"/>
      <c r="J77" s="135"/>
      <c r="K77" s="136"/>
      <c r="L77" s="127">
        <f t="shared" si="2"/>
        <v>142.56</v>
      </c>
      <c r="M77" s="197"/>
      <c r="N77" s="284"/>
      <c r="O77" s="197"/>
      <c r="P77" s="197"/>
    </row>
    <row r="78" spans="1:16" s="74" customFormat="1">
      <c r="A78" s="116"/>
      <c r="B78" s="121" t="s">
        <v>300</v>
      </c>
      <c r="C78" s="1010" t="s">
        <v>47</v>
      </c>
      <c r="D78" s="703"/>
      <c r="E78" s="101">
        <v>3.7999999999999999E-2</v>
      </c>
      <c r="F78" s="101">
        <v>3240</v>
      </c>
      <c r="G78" s="127">
        <f>F78*E78</f>
        <v>123.11999999999999</v>
      </c>
      <c r="H78" s="101"/>
      <c r="I78" s="136"/>
      <c r="J78" s="135"/>
      <c r="K78" s="136"/>
      <c r="L78" s="127">
        <f t="shared" si="2"/>
        <v>123.11999999999999</v>
      </c>
      <c r="M78" s="197"/>
      <c r="N78" s="284"/>
      <c r="O78" s="197"/>
      <c r="P78" s="197"/>
    </row>
    <row r="79" spans="1:16" s="74" customFormat="1">
      <c r="A79" s="116"/>
      <c r="B79" s="121" t="s">
        <v>273</v>
      </c>
      <c r="C79" s="1010" t="s">
        <v>47</v>
      </c>
      <c r="D79" s="703"/>
      <c r="E79" s="101">
        <v>0.13</v>
      </c>
      <c r="F79" s="171">
        <v>5407</v>
      </c>
      <c r="G79" s="127">
        <f>F79*E79</f>
        <v>702.91</v>
      </c>
      <c r="H79" s="101"/>
      <c r="I79" s="136"/>
      <c r="J79" s="135"/>
      <c r="K79" s="136"/>
      <c r="L79" s="127">
        <f t="shared" si="2"/>
        <v>702.91</v>
      </c>
      <c r="M79" s="41"/>
      <c r="N79" s="284"/>
      <c r="O79" s="197"/>
      <c r="P79" s="197"/>
    </row>
    <row r="80" spans="1:16" s="74" customFormat="1">
      <c r="A80" s="116"/>
      <c r="B80" s="168" t="s">
        <v>56</v>
      </c>
      <c r="C80" s="163" t="s">
        <v>57</v>
      </c>
      <c r="D80" s="703">
        <v>20</v>
      </c>
      <c r="E80" s="101">
        <f>D80*E72</f>
        <v>40.700000000000003</v>
      </c>
      <c r="F80" s="125">
        <v>4.41</v>
      </c>
      <c r="G80" s="127">
        <f>F80*E80</f>
        <v>179.48700000000002</v>
      </c>
      <c r="H80" s="101"/>
      <c r="I80" s="136"/>
      <c r="J80" s="135"/>
      <c r="K80" s="136"/>
      <c r="L80" s="127">
        <f t="shared" si="2"/>
        <v>179.48700000000002</v>
      </c>
      <c r="M80" s="197"/>
      <c r="N80" s="284"/>
      <c r="O80" s="197"/>
      <c r="P80" s="197"/>
    </row>
    <row r="81" spans="1:18" s="1" customFormat="1" ht="45">
      <c r="A81" s="810">
        <v>20</v>
      </c>
      <c r="B81" s="853" t="s">
        <v>129</v>
      </c>
      <c r="C81" s="810" t="s">
        <v>48</v>
      </c>
      <c r="D81" s="854"/>
      <c r="E81" s="855">
        <v>72.55</v>
      </c>
      <c r="F81" s="813"/>
      <c r="G81" s="836"/>
      <c r="H81" s="813"/>
      <c r="I81" s="836"/>
      <c r="J81" s="813"/>
      <c r="K81" s="836"/>
      <c r="L81" s="836"/>
      <c r="M81" s="367"/>
      <c r="N81" s="367"/>
      <c r="O81" s="367"/>
      <c r="P81" s="367"/>
      <c r="Q81" s="367"/>
      <c r="R81" s="367"/>
    </row>
    <row r="82" spans="1:18" s="1" customFormat="1" ht="17.399999999999999">
      <c r="A82" s="814"/>
      <c r="B82" s="815" t="s">
        <v>42</v>
      </c>
      <c r="C82" s="814" t="s">
        <v>138</v>
      </c>
      <c r="D82" s="816">
        <v>1</v>
      </c>
      <c r="E82" s="816">
        <f>D82*E81</f>
        <v>72.55</v>
      </c>
      <c r="F82" s="814"/>
      <c r="G82" s="814"/>
      <c r="H82" s="818">
        <v>6.25</v>
      </c>
      <c r="I82" s="818">
        <f>H82*E82</f>
        <v>453.4375</v>
      </c>
      <c r="J82" s="814"/>
      <c r="K82" s="818"/>
      <c r="L82" s="818">
        <f t="shared" ref="L82:L86" si="4">K82+I82+G82</f>
        <v>453.4375</v>
      </c>
      <c r="M82" s="367"/>
      <c r="N82" s="367"/>
      <c r="O82" s="367"/>
      <c r="P82" s="367"/>
      <c r="Q82" s="367"/>
      <c r="R82" s="367"/>
    </row>
    <row r="83" spans="1:18" s="1" customFormat="1">
      <c r="A83" s="814"/>
      <c r="B83" s="815" t="s">
        <v>49</v>
      </c>
      <c r="C83" s="816" t="s">
        <v>2</v>
      </c>
      <c r="D83" s="833">
        <v>2.9999999999999997E-4</v>
      </c>
      <c r="E83" s="834">
        <f>D83*E81</f>
        <v>2.1764999999999996E-2</v>
      </c>
      <c r="F83" s="814"/>
      <c r="G83" s="814"/>
      <c r="H83" s="814"/>
      <c r="I83" s="814"/>
      <c r="J83" s="818">
        <v>4</v>
      </c>
      <c r="K83" s="818">
        <f>E83*J83</f>
        <v>8.7059999999999985E-2</v>
      </c>
      <c r="L83" s="818">
        <f t="shared" si="4"/>
        <v>8.7059999999999985E-2</v>
      </c>
      <c r="M83" s="367"/>
      <c r="N83" s="367"/>
      <c r="O83" s="367"/>
      <c r="P83" s="367"/>
      <c r="Q83" s="367"/>
      <c r="R83" s="367"/>
    </row>
    <row r="84" spans="1:18" s="1" customFormat="1" ht="30">
      <c r="A84" s="814"/>
      <c r="B84" s="52" t="s">
        <v>350</v>
      </c>
      <c r="C84" s="849" t="s">
        <v>57</v>
      </c>
      <c r="D84" s="303">
        <f>(25.1+0.2+2.7)*0.01</f>
        <v>0.28000000000000003</v>
      </c>
      <c r="E84" s="1139">
        <f>D84*E81</f>
        <v>20.314</v>
      </c>
      <c r="F84" s="125">
        <v>27.2</v>
      </c>
      <c r="G84" s="818">
        <f>F84*E84</f>
        <v>552.54079999999999</v>
      </c>
      <c r="H84" s="818"/>
      <c r="I84" s="821"/>
      <c r="J84" s="818"/>
      <c r="K84" s="821"/>
      <c r="L84" s="818">
        <f t="shared" si="4"/>
        <v>552.54079999999999</v>
      </c>
      <c r="M84" s="367"/>
      <c r="N84" s="367"/>
      <c r="O84" s="367"/>
      <c r="P84" s="367"/>
      <c r="Q84" s="367"/>
      <c r="R84" s="367"/>
    </row>
    <row r="85" spans="1:18" s="367" customFormat="1" ht="21.9" customHeight="1">
      <c r="A85" s="814"/>
      <c r="B85" s="832" t="s">
        <v>69</v>
      </c>
      <c r="C85" s="850" t="s">
        <v>57</v>
      </c>
      <c r="D85" s="851">
        <v>0.15</v>
      </c>
      <c r="E85" s="852">
        <f>D85*E81</f>
        <v>10.882499999999999</v>
      </c>
      <c r="F85" s="818">
        <v>5</v>
      </c>
      <c r="G85" s="818">
        <f>F85*E85</f>
        <v>54.412499999999994</v>
      </c>
      <c r="H85" s="814"/>
      <c r="I85" s="818"/>
      <c r="J85" s="814"/>
      <c r="K85" s="814"/>
      <c r="L85" s="818">
        <f>K85+I85+G85</f>
        <v>54.412499999999994</v>
      </c>
    </row>
    <row r="86" spans="1:18" s="1" customFormat="1">
      <c r="A86" s="814"/>
      <c r="B86" s="815" t="s">
        <v>51</v>
      </c>
      <c r="C86" s="816" t="s">
        <v>2</v>
      </c>
      <c r="D86" s="833">
        <v>1.9E-3</v>
      </c>
      <c r="E86" s="834">
        <f>D86*E81</f>
        <v>0.137845</v>
      </c>
      <c r="F86" s="818">
        <v>4</v>
      </c>
      <c r="G86" s="818">
        <f>F86*E86</f>
        <v>0.55137999999999998</v>
      </c>
      <c r="H86" s="814"/>
      <c r="I86" s="814"/>
      <c r="J86" s="814"/>
      <c r="K86" s="814"/>
      <c r="L86" s="818">
        <f t="shared" si="4"/>
        <v>0.55137999999999998</v>
      </c>
      <c r="M86" s="367"/>
      <c r="N86" s="367"/>
      <c r="O86" s="367"/>
      <c r="P86" s="367"/>
      <c r="Q86" s="367"/>
      <c r="R86" s="367"/>
    </row>
    <row r="87" spans="1:18" s="459" customFormat="1" ht="27" customHeight="1">
      <c r="A87" s="379">
        <v>21</v>
      </c>
      <c r="B87" s="379" t="s">
        <v>275</v>
      </c>
      <c r="C87" s="810" t="s">
        <v>48</v>
      </c>
      <c r="D87" s="379"/>
      <c r="E87" s="458">
        <v>56</v>
      </c>
      <c r="F87" s="401"/>
      <c r="G87" s="401"/>
      <c r="H87" s="401"/>
      <c r="I87" s="401"/>
      <c r="J87" s="401"/>
      <c r="K87" s="401"/>
      <c r="L87" s="401"/>
    </row>
    <row r="88" spans="1:18" s="1" customFormat="1" ht="17.399999999999999">
      <c r="A88" s="814"/>
      <c r="B88" s="815" t="s">
        <v>42</v>
      </c>
      <c r="C88" s="1010" t="s">
        <v>149</v>
      </c>
      <c r="D88" s="816">
        <v>1</v>
      </c>
      <c r="E88" s="816">
        <f>D88*E87</f>
        <v>56</v>
      </c>
      <c r="F88" s="814"/>
      <c r="G88" s="814"/>
      <c r="H88" s="818">
        <v>7.5</v>
      </c>
      <c r="I88" s="818">
        <f>H88*E88</f>
        <v>420</v>
      </c>
      <c r="J88" s="814"/>
      <c r="K88" s="818"/>
      <c r="L88" s="818">
        <f t="shared" ref="L88:L89" si="5">K88+I88+G88</f>
        <v>420</v>
      </c>
      <c r="M88" s="367"/>
      <c r="N88" s="367"/>
      <c r="O88" s="367"/>
      <c r="P88" s="367"/>
      <c r="Q88" s="367"/>
      <c r="R88" s="367"/>
    </row>
    <row r="89" spans="1:18" s="460" customFormat="1" ht="30">
      <c r="A89" s="368"/>
      <c r="B89" s="897" t="s">
        <v>317</v>
      </c>
      <c r="C89" s="432" t="s">
        <v>276</v>
      </c>
      <c r="D89" s="449"/>
      <c r="E89" s="442">
        <v>1</v>
      </c>
      <c r="F89" s="369"/>
      <c r="G89" s="369"/>
      <c r="H89" s="369"/>
      <c r="I89" s="369"/>
      <c r="J89" s="369">
        <v>423.73</v>
      </c>
      <c r="K89" s="369">
        <f>J89*E89</f>
        <v>423.73</v>
      </c>
      <c r="L89" s="818">
        <f t="shared" si="5"/>
        <v>423.73</v>
      </c>
    </row>
    <row r="90" spans="1:18" s="460" customFormat="1">
      <c r="A90" s="814"/>
      <c r="B90" s="815" t="s">
        <v>56</v>
      </c>
      <c r="C90" s="816" t="s">
        <v>57</v>
      </c>
      <c r="D90" s="833"/>
      <c r="E90" s="834">
        <v>11.1</v>
      </c>
      <c r="F90" s="818">
        <v>4.41</v>
      </c>
      <c r="G90" s="127">
        <f>E90*F90</f>
        <v>48.951000000000001</v>
      </c>
      <c r="H90" s="135"/>
      <c r="I90" s="136"/>
      <c r="J90" s="135"/>
      <c r="K90" s="136"/>
      <c r="L90" s="70">
        <f>K90+I90+G90</f>
        <v>48.951000000000001</v>
      </c>
    </row>
    <row r="91" spans="1:18" s="289" customFormat="1" ht="27.6">
      <c r="A91" s="480">
        <v>22</v>
      </c>
      <c r="B91" s="472" t="s">
        <v>270</v>
      </c>
      <c r="C91" s="321" t="s">
        <v>146</v>
      </c>
      <c r="D91" s="481"/>
      <c r="E91" s="451">
        <f>56+19</f>
        <v>75</v>
      </c>
      <c r="F91" s="451"/>
      <c r="G91" s="845"/>
      <c r="H91" s="451"/>
      <c r="I91" s="482"/>
      <c r="J91" s="451"/>
      <c r="K91" s="482"/>
      <c r="L91" s="482"/>
      <c r="N91" s="329"/>
    </row>
    <row r="92" spans="1:18" s="74" customFormat="1" ht="17.399999999999999">
      <c r="A92" s="1010"/>
      <c r="B92" s="121" t="s">
        <v>70</v>
      </c>
      <c r="C92" s="1010" t="s">
        <v>149</v>
      </c>
      <c r="D92" s="703">
        <v>1</v>
      </c>
      <c r="E92" s="125">
        <f>E91*D92</f>
        <v>75</v>
      </c>
      <c r="F92" s="125"/>
      <c r="G92" s="70"/>
      <c r="H92" s="125">
        <v>12.5</v>
      </c>
      <c r="I92" s="70">
        <f>H92*E92</f>
        <v>937.5</v>
      </c>
      <c r="J92" s="125"/>
      <c r="K92" s="70"/>
      <c r="L92" s="70">
        <f>K92+I92+G92</f>
        <v>937.5</v>
      </c>
      <c r="M92" s="197"/>
      <c r="N92" s="284"/>
      <c r="O92" s="197"/>
      <c r="P92" s="197"/>
    </row>
    <row r="93" spans="1:18" s="74" customFormat="1">
      <c r="A93" s="116"/>
      <c r="B93" s="121" t="s">
        <v>45</v>
      </c>
      <c r="C93" s="1010" t="s">
        <v>2</v>
      </c>
      <c r="D93" s="703">
        <v>3.3999999999999998E-3</v>
      </c>
      <c r="E93" s="101">
        <f>D93*E91</f>
        <v>0.255</v>
      </c>
      <c r="F93" s="100"/>
      <c r="G93" s="127"/>
      <c r="H93" s="101"/>
      <c r="I93" s="136"/>
      <c r="J93" s="101">
        <v>4</v>
      </c>
      <c r="K93" s="127">
        <f>J93*E93</f>
        <v>1.02</v>
      </c>
      <c r="L93" s="127">
        <f>K93+I93+G93</f>
        <v>1.02</v>
      </c>
      <c r="M93" s="197"/>
      <c r="N93" s="284"/>
      <c r="O93" s="197"/>
      <c r="P93" s="197"/>
    </row>
    <row r="94" spans="1:18" s="74" customFormat="1" ht="30">
      <c r="A94" s="1010"/>
      <c r="B94" s="121" t="s">
        <v>324</v>
      </c>
      <c r="C94" s="1010" t="s">
        <v>138</v>
      </c>
      <c r="D94" s="123">
        <v>1.1000000000000001</v>
      </c>
      <c r="E94" s="124">
        <f>D94*E91</f>
        <v>82.5</v>
      </c>
      <c r="F94" s="100">
        <v>26.3</v>
      </c>
      <c r="G94" s="127">
        <f>E94*F94</f>
        <v>2169.75</v>
      </c>
      <c r="H94" s="135"/>
      <c r="I94" s="136"/>
      <c r="J94" s="135"/>
      <c r="K94" s="136"/>
      <c r="L94" s="70">
        <f>K94+I94+G94</f>
        <v>2169.75</v>
      </c>
      <c r="M94" s="197"/>
      <c r="N94" s="284"/>
      <c r="O94" s="197"/>
      <c r="P94" s="197"/>
    </row>
    <row r="95" spans="1:18" s="74" customFormat="1" ht="17.399999999999999">
      <c r="A95" s="730"/>
      <c r="B95" s="897" t="s">
        <v>360</v>
      </c>
      <c r="C95" s="1017" t="s">
        <v>138</v>
      </c>
      <c r="D95" s="905"/>
      <c r="E95" s="906">
        <v>25</v>
      </c>
      <c r="F95" s="877">
        <v>25.9</v>
      </c>
      <c r="G95" s="127">
        <f>E95*F95</f>
        <v>647.5</v>
      </c>
      <c r="H95" s="135"/>
      <c r="I95" s="136"/>
      <c r="J95" s="135"/>
      <c r="K95" s="136"/>
      <c r="L95" s="70">
        <f>K95+I95+G95</f>
        <v>647.5</v>
      </c>
      <c r="M95" s="197"/>
      <c r="N95" s="284"/>
      <c r="O95" s="197"/>
      <c r="P95" s="197"/>
    </row>
    <row r="96" spans="1:18" s="189" customFormat="1" ht="30">
      <c r="A96" s="822"/>
      <c r="B96" s="832" t="s">
        <v>64</v>
      </c>
      <c r="C96" s="822" t="s">
        <v>57</v>
      </c>
      <c r="D96" s="840">
        <v>0.05</v>
      </c>
      <c r="E96" s="838">
        <f>D96*E87</f>
        <v>2.8000000000000003</v>
      </c>
      <c r="F96" s="838">
        <v>2.9</v>
      </c>
      <c r="G96" s="827">
        <f>F96*E96</f>
        <v>8.120000000000001</v>
      </c>
      <c r="H96" s="838"/>
      <c r="I96" s="827"/>
      <c r="J96" s="838"/>
      <c r="K96" s="827"/>
      <c r="L96" s="827">
        <f t="shared" ref="L96:L97" si="6">K96+I96+G96</f>
        <v>8.120000000000001</v>
      </c>
      <c r="N96" s="284"/>
    </row>
    <row r="97" spans="1:16" s="74" customFormat="1">
      <c r="A97" s="1010"/>
      <c r="B97" s="121" t="s">
        <v>58</v>
      </c>
      <c r="C97" s="822" t="s">
        <v>57</v>
      </c>
      <c r="D97" s="133">
        <v>0.02</v>
      </c>
      <c r="E97" s="134">
        <f>D97*E91</f>
        <v>1.5</v>
      </c>
      <c r="F97" s="309">
        <v>5.4</v>
      </c>
      <c r="G97" s="827">
        <f>F97*E97</f>
        <v>8.1000000000000014</v>
      </c>
      <c r="H97" s="838"/>
      <c r="I97" s="827"/>
      <c r="J97" s="838"/>
      <c r="K97" s="827"/>
      <c r="L97" s="827">
        <f t="shared" si="6"/>
        <v>8.1000000000000014</v>
      </c>
      <c r="M97" s="197"/>
      <c r="N97" s="284"/>
      <c r="O97" s="197"/>
      <c r="P97" s="197"/>
    </row>
    <row r="98" spans="1:16" s="74" customFormat="1">
      <c r="A98" s="116"/>
      <c r="B98" s="121" t="s">
        <v>51</v>
      </c>
      <c r="C98" s="122" t="s">
        <v>2</v>
      </c>
      <c r="D98" s="118">
        <v>3.8600000000000002E-2</v>
      </c>
      <c r="E98" s="101">
        <f>D98*E91</f>
        <v>2.895</v>
      </c>
      <c r="F98" s="101">
        <v>4</v>
      </c>
      <c r="G98" s="127">
        <f>E98*F98</f>
        <v>11.58</v>
      </c>
      <c r="H98" s="135"/>
      <c r="I98" s="136"/>
      <c r="J98" s="135"/>
      <c r="K98" s="136"/>
      <c r="L98" s="70">
        <f>K98+I98+G98</f>
        <v>11.58</v>
      </c>
      <c r="M98" s="197"/>
      <c r="N98" s="284"/>
      <c r="O98" s="197"/>
      <c r="P98" s="197"/>
    </row>
    <row r="99" spans="1:16" s="1152" customFormat="1" ht="18.75" customHeight="1">
      <c r="A99" s="1148">
        <v>23</v>
      </c>
      <c r="B99" s="1148" t="s">
        <v>430</v>
      </c>
      <c r="C99" s="1148" t="s">
        <v>65</v>
      </c>
      <c r="D99" s="1148"/>
      <c r="E99" s="1148">
        <v>23.1</v>
      </c>
      <c r="F99" s="1149"/>
      <c r="G99" s="1148"/>
      <c r="H99" s="1150"/>
      <c r="I99" s="1150"/>
      <c r="J99" s="1150"/>
      <c r="K99" s="1150"/>
      <c r="L99" s="1151"/>
    </row>
    <row r="100" spans="1:16" s="499" customFormat="1" ht="16.2">
      <c r="A100" s="1153"/>
      <c r="B100" s="1154" t="s">
        <v>431</v>
      </c>
      <c r="C100" s="1153" t="s">
        <v>128</v>
      </c>
      <c r="D100" s="1155">
        <v>0.28599999999999998</v>
      </c>
      <c r="E100" s="1156">
        <f>E99*D100</f>
        <v>6.6066000000000003</v>
      </c>
      <c r="F100" s="1153"/>
      <c r="G100" s="1153"/>
      <c r="H100" s="1157">
        <v>7.8</v>
      </c>
      <c r="I100" s="1157">
        <f>E100*H100</f>
        <v>51.531480000000002</v>
      </c>
      <c r="J100" s="1158"/>
      <c r="K100" s="1158"/>
      <c r="L100" s="1157">
        <f>I100</f>
        <v>51.531480000000002</v>
      </c>
    </row>
    <row r="101" spans="1:16" s="499" customFormat="1" ht="16.2">
      <c r="A101" s="1153"/>
      <c r="B101" s="1154" t="s">
        <v>432</v>
      </c>
      <c r="C101" s="1153" t="s">
        <v>66</v>
      </c>
      <c r="D101" s="1155">
        <v>4.1000000000000003E-3</v>
      </c>
      <c r="E101" s="1156">
        <f>E99*D101</f>
        <v>9.4710000000000016E-2</v>
      </c>
      <c r="F101" s="1159"/>
      <c r="G101" s="1158"/>
      <c r="H101" s="1158"/>
      <c r="I101" s="1158"/>
      <c r="J101" s="1157">
        <v>4</v>
      </c>
      <c r="K101" s="1157">
        <f>E101*J101</f>
        <v>0.37884000000000007</v>
      </c>
      <c r="L101" s="1157">
        <f>K101</f>
        <v>0.37884000000000007</v>
      </c>
    </row>
    <row r="102" spans="1:16" s="499" customFormat="1" ht="16.2">
      <c r="A102" s="1153"/>
      <c r="B102" s="1154" t="s">
        <v>433</v>
      </c>
      <c r="C102" s="1153" t="s">
        <v>65</v>
      </c>
      <c r="D102" s="1155"/>
      <c r="E102" s="1156">
        <v>14.1</v>
      </c>
      <c r="F102" s="1157">
        <f>15.52/3/1.18</f>
        <v>4.3841807909604515</v>
      </c>
      <c r="G102" s="1157">
        <f>E102*F102</f>
        <v>61.816949152542364</v>
      </c>
      <c r="H102" s="1153"/>
      <c r="I102" s="1153"/>
      <c r="J102" s="1158"/>
      <c r="K102" s="1158"/>
      <c r="L102" s="1157">
        <f>G102</f>
        <v>61.816949152542364</v>
      </c>
    </row>
    <row r="103" spans="1:16" s="499" customFormat="1" ht="16.2">
      <c r="A103" s="1153"/>
      <c r="B103" s="1154" t="s">
        <v>434</v>
      </c>
      <c r="C103" s="814" t="s">
        <v>61</v>
      </c>
      <c r="D103" s="1155"/>
      <c r="E103" s="1156">
        <v>3</v>
      </c>
      <c r="F103" s="1157">
        <f>10.92/1.18</f>
        <v>9.2542372881355934</v>
      </c>
      <c r="G103" s="1157">
        <f>E103*F103</f>
        <v>27.762711864406782</v>
      </c>
      <c r="H103" s="1153"/>
      <c r="I103" s="1153"/>
      <c r="J103" s="1158"/>
      <c r="K103" s="1158"/>
      <c r="L103" s="1157">
        <f>G103</f>
        <v>27.762711864406782</v>
      </c>
    </row>
    <row r="104" spans="1:16" s="499" customFormat="1" ht="16.2">
      <c r="A104" s="1153"/>
      <c r="B104" s="1154" t="s">
        <v>435</v>
      </c>
      <c r="C104" s="1153" t="s">
        <v>65</v>
      </c>
      <c r="D104" s="1155"/>
      <c r="E104" s="1156">
        <v>9</v>
      </c>
      <c r="F104" s="824">
        <f>21.24/3/1.18</f>
        <v>6</v>
      </c>
      <c r="G104" s="1157">
        <f>E104*F104</f>
        <v>54</v>
      </c>
      <c r="H104" s="1153"/>
      <c r="I104" s="1153"/>
      <c r="J104" s="1158"/>
      <c r="K104" s="1158"/>
      <c r="L104" s="1157">
        <f>G104</f>
        <v>54</v>
      </c>
    </row>
    <row r="105" spans="1:16" s="11" customFormat="1">
      <c r="A105" s="814"/>
      <c r="B105" s="835" t="s">
        <v>436</v>
      </c>
      <c r="C105" s="814" t="s">
        <v>61</v>
      </c>
      <c r="D105" s="862"/>
      <c r="E105" s="842">
        <v>2</v>
      </c>
      <c r="F105" s="824">
        <f>5.16/1.18</f>
        <v>4.3728813559322042</v>
      </c>
      <c r="G105" s="827">
        <f>F105*E105</f>
        <v>8.7457627118644083</v>
      </c>
      <c r="H105" s="838"/>
      <c r="I105" s="827"/>
      <c r="J105" s="838"/>
      <c r="K105" s="827"/>
      <c r="L105" s="827">
        <f>K105+I105+G105</f>
        <v>8.7457627118644083</v>
      </c>
      <c r="M105" s="189"/>
      <c r="N105" s="189"/>
      <c r="O105" s="189"/>
    </row>
    <row r="106" spans="1:16" s="11" customFormat="1">
      <c r="A106" s="814"/>
      <c r="B106" s="835" t="s">
        <v>437</v>
      </c>
      <c r="C106" s="814" t="s">
        <v>61</v>
      </c>
      <c r="D106" s="862"/>
      <c r="E106" s="842">
        <v>4</v>
      </c>
      <c r="F106" s="824">
        <f>3/1.18</f>
        <v>2.5423728813559325</v>
      </c>
      <c r="G106" s="827">
        <f>F106*E106</f>
        <v>10.16949152542373</v>
      </c>
      <c r="H106" s="838"/>
      <c r="I106" s="827"/>
      <c r="J106" s="838"/>
      <c r="K106" s="827"/>
      <c r="L106" s="827">
        <f>K106+I106+G106</f>
        <v>10.16949152542373</v>
      </c>
      <c r="M106" s="189"/>
      <c r="N106" s="189"/>
      <c r="O106" s="189"/>
    </row>
    <row r="107" spans="1:16" s="499" customFormat="1" ht="16.2">
      <c r="A107" s="1153"/>
      <c r="B107" s="1160" t="s">
        <v>438</v>
      </c>
      <c r="C107" s="814" t="s">
        <v>61</v>
      </c>
      <c r="D107" s="1161"/>
      <c r="E107" s="1155">
        <v>2</v>
      </c>
      <c r="F107" s="1157">
        <f>12.2/1.18</f>
        <v>10.338983050847457</v>
      </c>
      <c r="G107" s="827">
        <f>F107*E107</f>
        <v>20.677966101694913</v>
      </c>
      <c r="H107" s="838"/>
      <c r="I107" s="827"/>
      <c r="J107" s="838"/>
      <c r="K107" s="827"/>
      <c r="L107" s="827">
        <f>K107+I107+G107</f>
        <v>20.677966101694913</v>
      </c>
    </row>
    <row r="108" spans="1:16" s="857" customFormat="1" ht="30">
      <c r="A108" s="379">
        <v>24</v>
      </c>
      <c r="B108" s="427" t="s">
        <v>308</v>
      </c>
      <c r="C108" s="321" t="s">
        <v>146</v>
      </c>
      <c r="D108" s="481"/>
      <c r="E108" s="451">
        <v>56</v>
      </c>
      <c r="F108" s="856"/>
      <c r="G108" s="401"/>
      <c r="H108" s="401"/>
      <c r="I108" s="401"/>
      <c r="J108" s="401"/>
      <c r="K108" s="401"/>
      <c r="L108" s="401"/>
    </row>
    <row r="109" spans="1:16" s="11" customFormat="1">
      <c r="A109" s="814"/>
      <c r="B109" s="1020" t="s">
        <v>357</v>
      </c>
      <c r="C109" s="837"/>
      <c r="D109" s="823"/>
      <c r="E109" s="846"/>
      <c r="F109" s="824"/>
      <c r="G109" s="818"/>
      <c r="H109" s="824"/>
      <c r="I109" s="818"/>
      <c r="J109" s="824"/>
      <c r="K109" s="818"/>
      <c r="L109" s="818"/>
      <c r="M109" s="189"/>
      <c r="N109" s="189"/>
      <c r="O109" s="189"/>
      <c r="P109" s="189"/>
    </row>
    <row r="110" spans="1:16" s="12" customFormat="1" ht="30">
      <c r="A110" s="839">
        <v>25</v>
      </c>
      <c r="B110" s="812" t="s">
        <v>367</v>
      </c>
      <c r="C110" s="321" t="s">
        <v>146</v>
      </c>
      <c r="D110" s="872"/>
      <c r="E110" s="939">
        <v>30</v>
      </c>
      <c r="F110" s="940"/>
      <c r="G110" s="813"/>
      <c r="H110" s="940"/>
      <c r="I110" s="813"/>
      <c r="J110" s="940"/>
      <c r="K110" s="813"/>
      <c r="L110" s="813"/>
      <c r="M110" s="196"/>
      <c r="N110" s="196"/>
      <c r="O110" s="196"/>
      <c r="P110" s="196"/>
    </row>
    <row r="111" spans="1:16" s="11" customFormat="1">
      <c r="A111" s="814"/>
      <c r="B111" s="1020" t="s">
        <v>357</v>
      </c>
      <c r="C111" s="837"/>
      <c r="D111" s="823"/>
      <c r="E111" s="846"/>
      <c r="F111" s="824"/>
      <c r="G111" s="818"/>
      <c r="H111" s="824"/>
      <c r="I111" s="818"/>
      <c r="J111" s="824"/>
      <c r="K111" s="818"/>
      <c r="L111" s="818"/>
      <c r="M111" s="189"/>
      <c r="N111" s="189"/>
      <c r="O111" s="189"/>
      <c r="P111" s="189"/>
    </row>
    <row r="112" spans="1:16" s="77" customFormat="1" ht="30">
      <c r="A112" s="924">
        <v>26</v>
      </c>
      <c r="B112" s="922" t="s">
        <v>348</v>
      </c>
      <c r="C112" s="379" t="s">
        <v>146</v>
      </c>
      <c r="D112" s="925"/>
      <c r="E112" s="926">
        <v>28</v>
      </c>
      <c r="F112" s="926"/>
      <c r="G112" s="908"/>
      <c r="H112" s="927"/>
      <c r="I112" s="928"/>
      <c r="J112" s="927"/>
      <c r="K112" s="928"/>
      <c r="L112" s="807"/>
      <c r="M112" s="293"/>
      <c r="N112" s="329"/>
      <c r="O112" s="293"/>
      <c r="P112" s="293"/>
    </row>
    <row r="113" spans="1:18" s="499" customFormat="1" ht="16.2">
      <c r="A113" s="501"/>
      <c r="B113" s="1020" t="s">
        <v>357</v>
      </c>
      <c r="C113" s="814"/>
      <c r="D113" s="522"/>
      <c r="E113" s="522"/>
      <c r="F113" s="501"/>
      <c r="G113" s="501"/>
      <c r="H113" s="502"/>
      <c r="I113" s="502"/>
      <c r="J113" s="503"/>
      <c r="K113" s="503"/>
      <c r="L113" s="502"/>
    </row>
    <row r="114" spans="1:18" s="860" customFormat="1" ht="30">
      <c r="A114" s="854">
        <v>27</v>
      </c>
      <c r="B114" s="853" t="s">
        <v>277</v>
      </c>
      <c r="C114" s="810" t="s">
        <v>146</v>
      </c>
      <c r="D114" s="854" t="s">
        <v>278</v>
      </c>
      <c r="E114" s="451">
        <v>56</v>
      </c>
      <c r="F114" s="810"/>
      <c r="G114" s="858"/>
      <c r="H114" s="858"/>
      <c r="I114" s="859"/>
      <c r="J114" s="859"/>
      <c r="K114" s="859"/>
      <c r="L114" s="841"/>
    </row>
    <row r="115" spans="1:18" s="197" customFormat="1">
      <c r="A115" s="822"/>
      <c r="B115" s="861" t="s">
        <v>42</v>
      </c>
      <c r="C115" s="814" t="s">
        <v>43</v>
      </c>
      <c r="D115" s="840">
        <v>0.73799999999999999</v>
      </c>
      <c r="E115" s="838">
        <f>D115*E114</f>
        <v>41.328000000000003</v>
      </c>
      <c r="F115" s="826"/>
      <c r="G115" s="825"/>
      <c r="H115" s="824">
        <v>7.8</v>
      </c>
      <c r="I115" s="818">
        <f>H115*E115</f>
        <v>322.35840000000002</v>
      </c>
      <c r="J115" s="826"/>
      <c r="K115" s="825"/>
      <c r="L115" s="827">
        <f>K115+I115+G115</f>
        <v>322.35840000000002</v>
      </c>
      <c r="M115" s="196"/>
      <c r="N115" s="284"/>
    </row>
    <row r="116" spans="1:18" s="471" customFormat="1">
      <c r="A116" s="814"/>
      <c r="B116" s="835" t="s">
        <v>49</v>
      </c>
      <c r="C116" s="816" t="s">
        <v>2</v>
      </c>
      <c r="D116" s="862">
        <v>6.8999999999999999E-3</v>
      </c>
      <c r="E116" s="842">
        <f>D116*E114</f>
        <v>0.38639999999999997</v>
      </c>
      <c r="F116" s="824"/>
      <c r="G116" s="818"/>
      <c r="H116" s="824"/>
      <c r="I116" s="818"/>
      <c r="J116" s="824">
        <v>4</v>
      </c>
      <c r="K116" s="818">
        <f>E116*J116</f>
        <v>1.5455999999999999</v>
      </c>
      <c r="L116" s="818">
        <f>K116+I116+G116</f>
        <v>1.5455999999999999</v>
      </c>
      <c r="M116" s="197"/>
      <c r="N116" s="284"/>
    </row>
    <row r="117" spans="1:18" s="189" customFormat="1">
      <c r="A117" s="822"/>
      <c r="B117" s="832" t="s">
        <v>279</v>
      </c>
      <c r="C117" s="814" t="s">
        <v>47</v>
      </c>
      <c r="D117" s="823">
        <f>0.029*0.01</f>
        <v>2.9E-4</v>
      </c>
      <c r="E117" s="824">
        <f>D117*E114</f>
        <v>1.6240000000000001E-2</v>
      </c>
      <c r="F117" s="824">
        <v>2150</v>
      </c>
      <c r="G117" s="827">
        <f>F117*E117</f>
        <v>34.916000000000004</v>
      </c>
      <c r="H117" s="824"/>
      <c r="I117" s="825"/>
      <c r="J117" s="826"/>
      <c r="K117" s="825"/>
      <c r="L117" s="827">
        <f>K117+I117+G117</f>
        <v>34.916000000000004</v>
      </c>
      <c r="N117" s="284"/>
    </row>
    <row r="118" spans="1:18" s="189" customFormat="1" ht="17.399999999999999">
      <c r="A118" s="822"/>
      <c r="B118" s="832" t="s">
        <v>280</v>
      </c>
      <c r="C118" s="822" t="s">
        <v>139</v>
      </c>
      <c r="D118" s="823">
        <f>0.008*0.01</f>
        <v>8.0000000000000007E-5</v>
      </c>
      <c r="E118" s="824">
        <f>D118*E114</f>
        <v>4.4800000000000005E-3</v>
      </c>
      <c r="F118" s="824">
        <v>521</v>
      </c>
      <c r="G118" s="827">
        <f>F118*E118</f>
        <v>2.3340800000000002</v>
      </c>
      <c r="H118" s="824"/>
      <c r="I118" s="825"/>
      <c r="J118" s="826"/>
      <c r="K118" s="825"/>
      <c r="L118" s="827">
        <f>K118+I118+G118</f>
        <v>2.3340800000000002</v>
      </c>
      <c r="N118" s="284"/>
    </row>
    <row r="119" spans="1:18" s="189" customFormat="1" ht="17.399999999999999">
      <c r="A119" s="822"/>
      <c r="B119" s="832" t="s">
        <v>281</v>
      </c>
      <c r="C119" s="814" t="s">
        <v>138</v>
      </c>
      <c r="D119" s="823">
        <f>5.5*0.01</f>
        <v>5.5E-2</v>
      </c>
      <c r="E119" s="824">
        <f>D119*E114</f>
        <v>3.08</v>
      </c>
      <c r="F119" s="824">
        <v>11.8</v>
      </c>
      <c r="G119" s="827">
        <f>F119*E119</f>
        <v>36.344000000000001</v>
      </c>
      <c r="H119" s="824"/>
      <c r="I119" s="825"/>
      <c r="J119" s="826"/>
      <c r="K119" s="825"/>
      <c r="L119" s="827">
        <f>K119+I119+G119</f>
        <v>36.344000000000001</v>
      </c>
      <c r="N119" s="284"/>
    </row>
    <row r="120" spans="1:18" s="459" customFormat="1" ht="27" customHeight="1">
      <c r="A120" s="379">
        <v>28</v>
      </c>
      <c r="B120" s="379" t="s">
        <v>320</v>
      </c>
      <c r="C120" s="379" t="s">
        <v>146</v>
      </c>
      <c r="D120" s="379"/>
      <c r="E120" s="458">
        <v>8</v>
      </c>
      <c r="F120" s="401"/>
      <c r="G120" s="401"/>
      <c r="H120" s="401"/>
      <c r="I120" s="401"/>
      <c r="J120" s="401"/>
      <c r="K120" s="401"/>
      <c r="L120" s="401"/>
    </row>
    <row r="121" spans="1:18" s="460" customFormat="1" ht="17.399999999999999">
      <c r="A121" s="368"/>
      <c r="B121" s="431" t="s">
        <v>42</v>
      </c>
      <c r="C121" s="814" t="s">
        <v>54</v>
      </c>
      <c r="D121" s="432">
        <v>1</v>
      </c>
      <c r="E121" s="434">
        <f>D121*E120</f>
        <v>8</v>
      </c>
      <c r="F121" s="369"/>
      <c r="G121" s="369"/>
      <c r="H121" s="369">
        <v>12.5</v>
      </c>
      <c r="I121" s="369">
        <f>H121*E121</f>
        <v>100</v>
      </c>
      <c r="J121" s="369"/>
      <c r="K121" s="369"/>
      <c r="L121" s="369">
        <f>K121+I121+G121</f>
        <v>100</v>
      </c>
    </row>
    <row r="122" spans="1:18" s="460" customFormat="1">
      <c r="A122" s="368"/>
      <c r="B122" s="431" t="s">
        <v>49</v>
      </c>
      <c r="C122" s="432" t="s">
        <v>2</v>
      </c>
      <c r="D122" s="449">
        <f>(0.95+4*0.23)/100</f>
        <v>1.8700000000000001E-2</v>
      </c>
      <c r="E122" s="442">
        <f>D122*E120</f>
        <v>0.14960000000000001</v>
      </c>
      <c r="F122" s="369"/>
      <c r="G122" s="369"/>
      <c r="H122" s="369"/>
      <c r="I122" s="369"/>
      <c r="J122" s="369">
        <v>4</v>
      </c>
      <c r="K122" s="369">
        <f>E122*J122</f>
        <v>0.59840000000000004</v>
      </c>
      <c r="L122" s="369">
        <f>K122+I122+G122</f>
        <v>0.59840000000000004</v>
      </c>
    </row>
    <row r="123" spans="1:18" s="460" customFormat="1" ht="17.399999999999999">
      <c r="A123" s="368"/>
      <c r="B123" s="462" t="s">
        <v>78</v>
      </c>
      <c r="C123" s="432" t="s">
        <v>139</v>
      </c>
      <c r="D123" s="463">
        <f>(2.04+4*0.51)/100</f>
        <v>4.0800000000000003E-2</v>
      </c>
      <c r="E123" s="369">
        <f>D123*E120</f>
        <v>0.32640000000000002</v>
      </c>
      <c r="F123" s="461">
        <v>131.69</v>
      </c>
      <c r="G123" s="369">
        <f>F123*E123</f>
        <v>42.983616000000005</v>
      </c>
      <c r="H123" s="369"/>
      <c r="I123" s="369"/>
      <c r="J123" s="369"/>
      <c r="K123" s="369"/>
      <c r="L123" s="369">
        <f>K123+I123+G123</f>
        <v>42.983616000000005</v>
      </c>
    </row>
    <row r="124" spans="1:18" s="1" customFormat="1" ht="17.399999999999999">
      <c r="A124" s="865"/>
      <c r="B124" s="815" t="s">
        <v>349</v>
      </c>
      <c r="C124" s="814" t="s">
        <v>54</v>
      </c>
      <c r="D124" s="833"/>
      <c r="E124" s="1140">
        <f>17.52*0.3</f>
        <v>5.2559999999999993</v>
      </c>
      <c r="F124" s="843">
        <v>50.8</v>
      </c>
      <c r="G124" s="863">
        <f>F124*E124</f>
        <v>267.00479999999993</v>
      </c>
      <c r="H124" s="863"/>
      <c r="I124" s="864"/>
      <c r="J124" s="863"/>
      <c r="K124" s="864"/>
      <c r="L124" s="864">
        <f t="shared" ref="L124" si="7">K124+I124+G124</f>
        <v>267.00479999999993</v>
      </c>
      <c r="M124" s="367"/>
      <c r="N124" s="367"/>
      <c r="O124" s="367"/>
      <c r="P124" s="367"/>
      <c r="Q124" s="367"/>
      <c r="R124" s="367"/>
    </row>
    <row r="125" spans="1:18" s="460" customFormat="1" ht="15" customHeight="1">
      <c r="A125" s="368"/>
      <c r="B125" s="431" t="s">
        <v>51</v>
      </c>
      <c r="C125" s="432" t="s">
        <v>2</v>
      </c>
      <c r="D125" s="463">
        <v>6.3600000000000004E-2</v>
      </c>
      <c r="E125" s="369">
        <f>D125*E120</f>
        <v>0.50880000000000003</v>
      </c>
      <c r="F125" s="369">
        <v>4</v>
      </c>
      <c r="G125" s="369">
        <f>F125*E125</f>
        <v>2.0352000000000001</v>
      </c>
      <c r="H125" s="369"/>
      <c r="I125" s="369"/>
      <c r="J125" s="369"/>
      <c r="K125" s="369"/>
      <c r="L125" s="369">
        <f>K125+I125+G125</f>
        <v>2.0352000000000001</v>
      </c>
    </row>
    <row r="126" spans="1:18" s="8" customFormat="1" ht="45">
      <c r="A126" s="321">
        <v>29</v>
      </c>
      <c r="B126" s="312" t="s">
        <v>194</v>
      </c>
      <c r="C126" s="321" t="s">
        <v>146</v>
      </c>
      <c r="D126" s="311"/>
      <c r="E126" s="453">
        <v>8</v>
      </c>
      <c r="F126" s="327"/>
      <c r="G126" s="328"/>
      <c r="H126" s="327"/>
      <c r="I126" s="328"/>
      <c r="J126" s="327"/>
      <c r="K126" s="328"/>
      <c r="L126" s="328"/>
      <c r="M126" s="292"/>
      <c r="N126" s="284"/>
      <c r="O126" s="214"/>
      <c r="P126" s="214"/>
    </row>
    <row r="127" spans="1:18" s="78" customFormat="1" ht="17.399999999999999">
      <c r="A127" s="1010"/>
      <c r="B127" s="121" t="s">
        <v>42</v>
      </c>
      <c r="C127" s="814" t="s">
        <v>54</v>
      </c>
      <c r="D127" s="123">
        <v>1</v>
      </c>
      <c r="E127" s="124">
        <f>D127*E126</f>
        <v>8</v>
      </c>
      <c r="F127" s="125"/>
      <c r="G127" s="70"/>
      <c r="H127" s="282">
        <v>25</v>
      </c>
      <c r="I127" s="70">
        <f>H127*E127</f>
        <v>200</v>
      </c>
      <c r="J127" s="125"/>
      <c r="K127" s="70"/>
      <c r="L127" s="70">
        <f t="shared" ref="L127:L132" si="8">K127+I127+G127</f>
        <v>200</v>
      </c>
      <c r="M127" s="292"/>
      <c r="N127" s="284"/>
      <c r="O127" s="294"/>
      <c r="P127" s="294"/>
    </row>
    <row r="128" spans="1:18" s="78" customFormat="1">
      <c r="A128" s="1010"/>
      <c r="B128" s="121" t="s">
        <v>49</v>
      </c>
      <c r="C128" s="122" t="s">
        <v>2</v>
      </c>
      <c r="D128" s="133">
        <v>4.5199999999999997E-2</v>
      </c>
      <c r="E128" s="134">
        <f>D128*E126</f>
        <v>0.36159999999999998</v>
      </c>
      <c r="F128" s="125"/>
      <c r="G128" s="70"/>
      <c r="H128" s="125"/>
      <c r="I128" s="70"/>
      <c r="J128" s="125">
        <v>4</v>
      </c>
      <c r="K128" s="70">
        <f>E128*J128</f>
        <v>1.4463999999999999</v>
      </c>
      <c r="L128" s="70">
        <f t="shared" si="8"/>
        <v>1.4463999999999999</v>
      </c>
      <c r="M128" s="291"/>
      <c r="N128" s="284"/>
      <c r="O128" s="294"/>
      <c r="P128" s="294"/>
    </row>
    <row r="129" spans="1:18" s="74" customFormat="1" ht="17.399999999999999">
      <c r="A129" s="116"/>
      <c r="B129" s="121" t="s">
        <v>309</v>
      </c>
      <c r="C129" s="1010" t="s">
        <v>149</v>
      </c>
      <c r="D129" s="133">
        <v>1.02</v>
      </c>
      <c r="E129" s="101">
        <f>D129*E126</f>
        <v>8.16</v>
      </c>
      <c r="F129" s="101">
        <f>40/1.18</f>
        <v>33.898305084745765</v>
      </c>
      <c r="G129" s="127">
        <f t="shared" ref="G129:G132" si="9">F129*E129</f>
        <v>276.61016949152543</v>
      </c>
      <c r="H129" s="101"/>
      <c r="I129" s="136"/>
      <c r="J129" s="135"/>
      <c r="K129" s="136"/>
      <c r="L129" s="127">
        <f t="shared" si="8"/>
        <v>276.61016949152543</v>
      </c>
      <c r="M129" s="291"/>
      <c r="N129" s="284"/>
      <c r="O129" s="197"/>
      <c r="P129" s="197"/>
    </row>
    <row r="130" spans="1:18" s="19" customFormat="1">
      <c r="A130" s="525"/>
      <c r="B130" s="169" t="s">
        <v>77</v>
      </c>
      <c r="C130" s="163" t="s">
        <v>57</v>
      </c>
      <c r="D130" s="703">
        <v>6.25</v>
      </c>
      <c r="E130" s="101">
        <f>D130*E126</f>
        <v>50</v>
      </c>
      <c r="F130" s="125">
        <v>0.85</v>
      </c>
      <c r="G130" s="70">
        <f t="shared" si="9"/>
        <v>42.5</v>
      </c>
      <c r="H130" s="125"/>
      <c r="I130" s="70"/>
      <c r="J130" s="125"/>
      <c r="K130" s="70"/>
      <c r="L130" s="70">
        <f t="shared" si="8"/>
        <v>42.5</v>
      </c>
      <c r="M130" s="214"/>
      <c r="N130" s="284"/>
      <c r="O130" s="42"/>
      <c r="P130" s="42"/>
    </row>
    <row r="131" spans="1:18" s="19" customFormat="1">
      <c r="A131" s="525"/>
      <c r="B131" s="168" t="s">
        <v>79</v>
      </c>
      <c r="C131" s="163" t="s">
        <v>57</v>
      </c>
      <c r="D131" s="703">
        <v>0.2</v>
      </c>
      <c r="E131" s="101">
        <f>D131*E126</f>
        <v>1.6</v>
      </c>
      <c r="F131" s="125">
        <v>1.5</v>
      </c>
      <c r="G131" s="70">
        <f t="shared" si="9"/>
        <v>2.4000000000000004</v>
      </c>
      <c r="H131" s="125"/>
      <c r="I131" s="70"/>
      <c r="J131" s="125"/>
      <c r="K131" s="70"/>
      <c r="L131" s="70">
        <f t="shared" si="8"/>
        <v>2.4000000000000004</v>
      </c>
      <c r="M131" s="294"/>
      <c r="N131" s="284"/>
      <c r="O131" s="42"/>
      <c r="P131" s="42"/>
    </row>
    <row r="132" spans="1:18" s="75" customFormat="1">
      <c r="A132" s="157"/>
      <c r="B132" s="121" t="s">
        <v>51</v>
      </c>
      <c r="C132" s="122" t="s">
        <v>2</v>
      </c>
      <c r="D132" s="161">
        <v>4.6600000000000003E-2</v>
      </c>
      <c r="E132" s="162">
        <f>D132*E126</f>
        <v>0.37280000000000002</v>
      </c>
      <c r="F132" s="158">
        <v>4</v>
      </c>
      <c r="G132" s="127">
        <f t="shared" si="9"/>
        <v>1.4912000000000001</v>
      </c>
      <c r="H132" s="162"/>
      <c r="I132" s="159"/>
      <c r="J132" s="160"/>
      <c r="K132" s="159"/>
      <c r="L132" s="127">
        <f t="shared" si="8"/>
        <v>1.4912000000000001</v>
      </c>
      <c r="M132" s="294"/>
      <c r="N132" s="284"/>
      <c r="O132" s="291"/>
      <c r="P132" s="291"/>
    </row>
    <row r="133" spans="1:18" s="11" customFormat="1" ht="30">
      <c r="A133" s="321">
        <v>30</v>
      </c>
      <c r="B133" s="312" t="s">
        <v>373</v>
      </c>
      <c r="C133" s="321" t="s">
        <v>47</v>
      </c>
      <c r="D133" s="468"/>
      <c r="E133" s="453">
        <f>5.4*15.7/1000</f>
        <v>8.4779999999999994E-2</v>
      </c>
      <c r="F133" s="327"/>
      <c r="G133" s="328"/>
      <c r="H133" s="327"/>
      <c r="I133" s="328"/>
      <c r="J133" s="327"/>
      <c r="K133" s="328"/>
      <c r="L133" s="328"/>
      <c r="M133" s="196"/>
      <c r="N133" s="284"/>
      <c r="O133" s="189"/>
      <c r="P133" s="189"/>
    </row>
    <row r="134" spans="1:18" s="11" customFormat="1" ht="16.2">
      <c r="A134" s="1013"/>
      <c r="B134" s="121" t="s">
        <v>42</v>
      </c>
      <c r="C134" s="1013" t="s">
        <v>65</v>
      </c>
      <c r="D134" s="123"/>
      <c r="E134" s="124">
        <v>18</v>
      </c>
      <c r="F134" s="125"/>
      <c r="G134" s="70"/>
      <c r="H134" s="125">
        <v>25</v>
      </c>
      <c r="I134" s="70">
        <f>H134*E134</f>
        <v>450</v>
      </c>
      <c r="J134" s="125"/>
      <c r="K134" s="70"/>
      <c r="L134" s="70">
        <f>K134+I134+G134</f>
        <v>450</v>
      </c>
      <c r="M134" s="257"/>
      <c r="N134" s="284"/>
      <c r="O134" s="189"/>
      <c r="P134" s="189"/>
    </row>
    <row r="135" spans="1:18" s="11" customFormat="1">
      <c r="A135" s="116"/>
      <c r="B135" s="121" t="s">
        <v>49</v>
      </c>
      <c r="C135" s="1013" t="s">
        <v>66</v>
      </c>
      <c r="D135" s="703">
        <v>4.07</v>
      </c>
      <c r="E135" s="101">
        <f>D135*E133</f>
        <v>0.34505459999999999</v>
      </c>
      <c r="F135" s="100"/>
      <c r="G135" s="154"/>
      <c r="H135" s="101"/>
      <c r="I135" s="136"/>
      <c r="J135" s="101">
        <v>4</v>
      </c>
      <c r="K135" s="127">
        <f>J135*E135</f>
        <v>1.3802184</v>
      </c>
      <c r="L135" s="127">
        <f>K135+I135+G135</f>
        <v>1.3802184</v>
      </c>
      <c r="M135" s="189"/>
      <c r="N135" s="284"/>
      <c r="O135" s="189"/>
      <c r="P135" s="189"/>
    </row>
    <row r="136" spans="1:18" s="1" customFormat="1" ht="17.399999999999999">
      <c r="A136" s="865"/>
      <c r="B136" s="815" t="s">
        <v>383</v>
      </c>
      <c r="C136" s="814" t="s">
        <v>54</v>
      </c>
      <c r="D136" s="833"/>
      <c r="E136" s="1140">
        <f>18*0.3</f>
        <v>5.3999999999999995</v>
      </c>
      <c r="F136" s="843">
        <v>30.5</v>
      </c>
      <c r="G136" s="863">
        <f>F136*E136</f>
        <v>164.7</v>
      </c>
      <c r="H136" s="863"/>
      <c r="I136" s="864"/>
      <c r="J136" s="863"/>
      <c r="K136" s="864"/>
      <c r="L136" s="864">
        <f>K136+I136+G136</f>
        <v>164.7</v>
      </c>
      <c r="M136" s="367"/>
      <c r="N136" s="367"/>
      <c r="O136" s="367"/>
      <c r="P136" s="367"/>
      <c r="Q136" s="367"/>
      <c r="R136" s="367"/>
    </row>
    <row r="137" spans="1:18" s="1" customFormat="1">
      <c r="A137" s="865"/>
      <c r="B137" s="815" t="s">
        <v>56</v>
      </c>
      <c r="C137" s="814" t="s">
        <v>57</v>
      </c>
      <c r="D137" s="833">
        <v>15.2</v>
      </c>
      <c r="E137" s="1140">
        <f>D137*E133</f>
        <v>1.2886559999999998</v>
      </c>
      <c r="F137" s="843">
        <v>4.41</v>
      </c>
      <c r="G137" s="127">
        <f>F137*E137</f>
        <v>5.682972959999999</v>
      </c>
      <c r="H137" s="101"/>
      <c r="I137" s="136"/>
      <c r="J137" s="135"/>
      <c r="K137" s="136"/>
      <c r="L137" s="127">
        <f>K137+I137+G137</f>
        <v>5.682972959999999</v>
      </c>
      <c r="M137" s="367"/>
      <c r="N137" s="367"/>
      <c r="O137" s="367"/>
      <c r="P137" s="367"/>
      <c r="Q137" s="367"/>
      <c r="R137" s="367"/>
    </row>
    <row r="138" spans="1:18" s="11" customFormat="1">
      <c r="A138" s="116"/>
      <c r="B138" s="155" t="s">
        <v>51</v>
      </c>
      <c r="C138" s="1013" t="s">
        <v>2</v>
      </c>
      <c r="D138" s="703">
        <v>2.78</v>
      </c>
      <c r="E138" s="101">
        <f>D138*E133</f>
        <v>0.23568839999999996</v>
      </c>
      <c r="F138" s="101">
        <v>4</v>
      </c>
      <c r="G138" s="127">
        <f>F138*E138</f>
        <v>0.94275359999999986</v>
      </c>
      <c r="H138" s="101"/>
      <c r="I138" s="136"/>
      <c r="J138" s="135"/>
      <c r="K138" s="136"/>
      <c r="L138" s="127">
        <f>K138+I138+G138</f>
        <v>0.94275359999999986</v>
      </c>
      <c r="M138" s="189"/>
      <c r="N138" s="284"/>
      <c r="O138" s="189"/>
      <c r="P138" s="189"/>
    </row>
    <row r="139" spans="1:18" s="11" customFormat="1" ht="30">
      <c r="A139" s="321">
        <v>31</v>
      </c>
      <c r="B139" s="312" t="s">
        <v>351</v>
      </c>
      <c r="C139" s="321" t="s">
        <v>47</v>
      </c>
      <c r="D139" s="468"/>
      <c r="E139" s="453">
        <f>0.208+0.329</f>
        <v>0.53700000000000003</v>
      </c>
      <c r="F139" s="327"/>
      <c r="G139" s="328"/>
      <c r="H139" s="327"/>
      <c r="I139" s="328"/>
      <c r="J139" s="327"/>
      <c r="K139" s="328"/>
      <c r="L139" s="328"/>
      <c r="M139" s="196"/>
      <c r="N139" s="284"/>
      <c r="O139" s="189"/>
      <c r="P139" s="189"/>
    </row>
    <row r="140" spans="1:18" s="11" customFormat="1" ht="16.2">
      <c r="A140" s="1013"/>
      <c r="B140" s="121" t="s">
        <v>42</v>
      </c>
      <c r="C140" s="1013" t="s">
        <v>43</v>
      </c>
      <c r="D140" s="123">
        <v>34.9</v>
      </c>
      <c r="E140" s="124">
        <f>D140*E139</f>
        <v>18.741299999999999</v>
      </c>
      <c r="F140" s="125"/>
      <c r="G140" s="70"/>
      <c r="H140" s="125">
        <v>7.8</v>
      </c>
      <c r="I140" s="70">
        <f>H140*E140</f>
        <v>146.18213999999998</v>
      </c>
      <c r="J140" s="125"/>
      <c r="K140" s="70"/>
      <c r="L140" s="70">
        <f>K140+I140+G140</f>
        <v>146.18213999999998</v>
      </c>
      <c r="M140" s="257"/>
      <c r="N140" s="284"/>
      <c r="O140" s="189"/>
      <c r="P140" s="189"/>
    </row>
    <row r="141" spans="1:18" s="11" customFormat="1">
      <c r="A141" s="116"/>
      <c r="B141" s="121" t="s">
        <v>49</v>
      </c>
      <c r="C141" s="1013" t="s">
        <v>66</v>
      </c>
      <c r="D141" s="703">
        <v>4.07</v>
      </c>
      <c r="E141" s="101">
        <f>D141*E139</f>
        <v>2.1855900000000004</v>
      </c>
      <c r="F141" s="100"/>
      <c r="G141" s="154"/>
      <c r="H141" s="101"/>
      <c r="I141" s="136"/>
      <c r="J141" s="101">
        <v>4</v>
      </c>
      <c r="K141" s="127">
        <f>J141*E141</f>
        <v>8.7423600000000015</v>
      </c>
      <c r="L141" s="127">
        <f>K141+I141+G141</f>
        <v>8.7423600000000015</v>
      </c>
      <c r="M141" s="189"/>
      <c r="N141" s="284"/>
      <c r="O141" s="189"/>
      <c r="P141" s="189"/>
    </row>
    <row r="142" spans="1:18" s="1" customFormat="1">
      <c r="A142" s="865"/>
      <c r="B142" s="815" t="s">
        <v>352</v>
      </c>
      <c r="C142" s="814" t="s">
        <v>47</v>
      </c>
      <c r="D142" s="833"/>
      <c r="E142" s="1140">
        <f>20*10.4/1000</f>
        <v>0.20799999999999999</v>
      </c>
      <c r="F142" s="843">
        <v>2700</v>
      </c>
      <c r="G142" s="863">
        <f t="shared" ref="G142:G143" si="10">F142*E142</f>
        <v>561.6</v>
      </c>
      <c r="H142" s="863"/>
      <c r="I142" s="864"/>
      <c r="J142" s="863"/>
      <c r="K142" s="864"/>
      <c r="L142" s="864">
        <f t="shared" ref="L142:L143" si="11">K142+I142+G142</f>
        <v>561.6</v>
      </c>
      <c r="M142" s="367"/>
      <c r="N142" s="367"/>
      <c r="O142" s="367"/>
      <c r="P142" s="367"/>
      <c r="Q142" s="367"/>
      <c r="R142" s="367"/>
    </row>
    <row r="143" spans="1:18" s="1" customFormat="1">
      <c r="A143" s="865"/>
      <c r="B143" s="815" t="s">
        <v>353</v>
      </c>
      <c r="C143" s="814" t="s">
        <v>65</v>
      </c>
      <c r="D143" s="833"/>
      <c r="E143" s="1140">
        <v>20</v>
      </c>
      <c r="F143" s="843">
        <v>52.64</v>
      </c>
      <c r="G143" s="863">
        <f t="shared" si="10"/>
        <v>1052.8</v>
      </c>
      <c r="H143" s="863"/>
      <c r="I143" s="864"/>
      <c r="J143" s="863"/>
      <c r="K143" s="864"/>
      <c r="L143" s="864">
        <f t="shared" si="11"/>
        <v>1052.8</v>
      </c>
      <c r="M143" s="367"/>
      <c r="N143" s="367"/>
      <c r="O143" s="367"/>
      <c r="P143" s="367"/>
      <c r="Q143" s="367"/>
      <c r="R143" s="367"/>
    </row>
    <row r="144" spans="1:18" s="1" customFormat="1">
      <c r="A144" s="865"/>
      <c r="B144" s="815" t="s">
        <v>56</v>
      </c>
      <c r="C144" s="814" t="s">
        <v>57</v>
      </c>
      <c r="D144" s="833">
        <v>15.2</v>
      </c>
      <c r="E144" s="1140">
        <f>D144*E139</f>
        <v>8.1623999999999999</v>
      </c>
      <c r="F144" s="843">
        <v>4.41</v>
      </c>
      <c r="G144" s="127">
        <f>F144*E144</f>
        <v>35.996184</v>
      </c>
      <c r="H144" s="101"/>
      <c r="I144" s="136"/>
      <c r="J144" s="135"/>
      <c r="K144" s="136"/>
      <c r="L144" s="127">
        <f>K144+I144+G144</f>
        <v>35.996184</v>
      </c>
      <c r="M144" s="367"/>
      <c r="N144" s="367"/>
      <c r="O144" s="367"/>
      <c r="P144" s="367"/>
      <c r="Q144" s="367"/>
      <c r="R144" s="367"/>
    </row>
    <row r="145" spans="1:16" s="11" customFormat="1">
      <c r="A145" s="116"/>
      <c r="B145" s="155" t="s">
        <v>51</v>
      </c>
      <c r="C145" s="1013" t="s">
        <v>2</v>
      </c>
      <c r="D145" s="703">
        <v>2.78</v>
      </c>
      <c r="E145" s="101">
        <f>D145*E139</f>
        <v>1.4928600000000001</v>
      </c>
      <c r="F145" s="101">
        <v>4</v>
      </c>
      <c r="G145" s="127">
        <f>F145*E145</f>
        <v>5.9714400000000003</v>
      </c>
      <c r="H145" s="101"/>
      <c r="I145" s="136"/>
      <c r="J145" s="135"/>
      <c r="K145" s="136"/>
      <c r="L145" s="127">
        <f>K145+I145+G145</f>
        <v>5.9714400000000003</v>
      </c>
      <c r="M145" s="189"/>
      <c r="N145" s="284"/>
      <c r="O145" s="189"/>
      <c r="P145" s="189"/>
    </row>
    <row r="146" spans="1:16" s="11" customFormat="1" ht="45">
      <c r="A146" s="321">
        <v>32</v>
      </c>
      <c r="B146" s="312" t="s">
        <v>354</v>
      </c>
      <c r="C146" s="321" t="s">
        <v>148</v>
      </c>
      <c r="D146" s="468"/>
      <c r="E146" s="1019">
        <f>5.28+10.56</f>
        <v>15.84</v>
      </c>
      <c r="F146" s="327"/>
      <c r="G146" s="328"/>
      <c r="H146" s="327"/>
      <c r="I146" s="328"/>
      <c r="J146" s="327"/>
      <c r="K146" s="328"/>
      <c r="L146" s="328"/>
      <c r="M146" s="196"/>
      <c r="N146" s="284"/>
      <c r="O146" s="189"/>
      <c r="P146" s="189"/>
    </row>
    <row r="147" spans="1:16" s="11" customFormat="1" ht="17.399999999999999">
      <c r="A147" s="1013"/>
      <c r="B147" s="121" t="s">
        <v>42</v>
      </c>
      <c r="C147" s="1048" t="s">
        <v>149</v>
      </c>
      <c r="D147" s="123">
        <v>1</v>
      </c>
      <c r="E147" s="124">
        <f>D147*E146</f>
        <v>15.84</v>
      </c>
      <c r="F147" s="125"/>
      <c r="G147" s="70"/>
      <c r="H147" s="125">
        <v>6.25</v>
      </c>
      <c r="I147" s="70">
        <f>H147*E147</f>
        <v>99</v>
      </c>
      <c r="J147" s="125"/>
      <c r="K147" s="70"/>
      <c r="L147" s="70">
        <f>K147+I147+G147</f>
        <v>99</v>
      </c>
      <c r="M147" s="257"/>
      <c r="N147" s="284"/>
      <c r="O147" s="189"/>
      <c r="P147" s="189"/>
    </row>
    <row r="148" spans="1:16" s="11" customFormat="1">
      <c r="A148" s="116"/>
      <c r="B148" s="121" t="s">
        <v>49</v>
      </c>
      <c r="C148" s="1013" t="s">
        <v>66</v>
      </c>
      <c r="D148" s="703">
        <v>2.9999999999999997E-4</v>
      </c>
      <c r="E148" s="101">
        <f>D148*E146</f>
        <v>4.7519999999999993E-3</v>
      </c>
      <c r="F148" s="100"/>
      <c r="G148" s="154"/>
      <c r="H148" s="101"/>
      <c r="I148" s="136"/>
      <c r="J148" s="101">
        <v>4</v>
      </c>
      <c r="K148" s="127">
        <f>J148*E148</f>
        <v>1.9007999999999997E-2</v>
      </c>
      <c r="L148" s="127">
        <f>K148+I148+G148</f>
        <v>1.9007999999999997E-2</v>
      </c>
      <c r="M148" s="189"/>
      <c r="N148" s="284"/>
      <c r="O148" s="189"/>
      <c r="P148" s="189"/>
    </row>
    <row r="149" spans="1:16" s="11" customFormat="1" ht="30">
      <c r="A149" s="1013"/>
      <c r="B149" s="52" t="s">
        <v>350</v>
      </c>
      <c r="C149" s="1013" t="s">
        <v>57</v>
      </c>
      <c r="D149" s="101">
        <f>(25.1+0.2+2.7)*0.01</f>
        <v>0.28000000000000003</v>
      </c>
      <c r="E149" s="101">
        <f>D149*E146</f>
        <v>4.4352</v>
      </c>
      <c r="F149" s="125">
        <v>27.2</v>
      </c>
      <c r="G149" s="70">
        <f>F149*E149</f>
        <v>120.63744</v>
      </c>
      <c r="H149" s="125"/>
      <c r="I149" s="70"/>
      <c r="J149" s="125"/>
      <c r="K149" s="70"/>
      <c r="L149" s="70">
        <f>K149+I149+G149</f>
        <v>120.63744</v>
      </c>
      <c r="M149" s="189"/>
      <c r="N149" s="284"/>
      <c r="O149" s="189"/>
      <c r="P149" s="189"/>
    </row>
    <row r="150" spans="1:16" s="367" customFormat="1" ht="21.9" customHeight="1">
      <c r="A150" s="814"/>
      <c r="B150" s="832" t="s">
        <v>69</v>
      </c>
      <c r="C150" s="850" t="s">
        <v>57</v>
      </c>
      <c r="D150" s="851">
        <v>0.15</v>
      </c>
      <c r="E150" s="852">
        <f>D150*E146</f>
        <v>2.3759999999999999</v>
      </c>
      <c r="F150" s="818">
        <v>5</v>
      </c>
      <c r="G150" s="818">
        <f>F150*E150</f>
        <v>11.879999999999999</v>
      </c>
      <c r="H150" s="814"/>
      <c r="I150" s="818"/>
      <c r="J150" s="814"/>
      <c r="K150" s="814"/>
      <c r="L150" s="818">
        <f>K150+I150+G150</f>
        <v>11.879999999999999</v>
      </c>
    </row>
    <row r="151" spans="1:16" s="11" customFormat="1">
      <c r="A151" s="116"/>
      <c r="B151" s="155" t="s">
        <v>51</v>
      </c>
      <c r="C151" s="1013" t="s">
        <v>2</v>
      </c>
      <c r="D151" s="703">
        <v>1.9E-3</v>
      </c>
      <c r="E151" s="101">
        <f>D151*E146</f>
        <v>3.0096000000000001E-2</v>
      </c>
      <c r="F151" s="101">
        <v>4</v>
      </c>
      <c r="G151" s="127">
        <f>F151*E151</f>
        <v>0.120384</v>
      </c>
      <c r="H151" s="101"/>
      <c r="I151" s="136"/>
      <c r="J151" s="135"/>
      <c r="K151" s="136"/>
      <c r="L151" s="127">
        <f>K151+I151+G151</f>
        <v>0.120384</v>
      </c>
      <c r="M151" s="189"/>
      <c r="N151" s="284"/>
      <c r="O151" s="189"/>
      <c r="P151" s="189"/>
    </row>
    <row r="152" spans="1:16" s="286" customFormat="1">
      <c r="A152" s="116"/>
      <c r="B152" s="121"/>
      <c r="C152" s="1010"/>
      <c r="D152" s="703"/>
      <c r="E152" s="125"/>
      <c r="F152" s="125"/>
      <c r="G152" s="70"/>
      <c r="H152" s="125"/>
      <c r="I152" s="127"/>
      <c r="J152" s="135"/>
      <c r="K152" s="136"/>
      <c r="L152" s="127"/>
      <c r="N152" s="284"/>
    </row>
    <row r="153" spans="1:16" s="197" customFormat="1">
      <c r="A153" s="166"/>
      <c r="B153" s="370" t="s">
        <v>167</v>
      </c>
      <c r="C153" s="1010"/>
      <c r="D153" s="703"/>
      <c r="E153" s="101"/>
      <c r="F153" s="139"/>
      <c r="G153" s="143"/>
      <c r="H153" s="139"/>
      <c r="I153" s="143"/>
      <c r="J153" s="139"/>
      <c r="K153" s="143"/>
      <c r="L153" s="143"/>
      <c r="N153" s="284"/>
    </row>
    <row r="154" spans="1:16" s="385" customFormat="1" ht="45">
      <c r="A154" s="377">
        <v>33</v>
      </c>
      <c r="B154" s="378" t="s">
        <v>370</v>
      </c>
      <c r="C154" s="379" t="s">
        <v>168</v>
      </c>
      <c r="D154" s="380"/>
      <c r="E154" s="406">
        <v>75</v>
      </c>
      <c r="F154" s="382"/>
      <c r="G154" s="382"/>
      <c r="H154" s="383"/>
      <c r="I154" s="383"/>
      <c r="J154" s="383"/>
      <c r="K154" s="383"/>
      <c r="L154" s="384"/>
    </row>
    <row r="155" spans="1:16" s="385" customFormat="1" ht="15" customHeight="1">
      <c r="A155" s="386"/>
      <c r="B155" s="387" t="s">
        <v>101</v>
      </c>
      <c r="C155" s="388" t="s">
        <v>60</v>
      </c>
      <c r="D155" s="388">
        <v>3.3000000000000002E-2</v>
      </c>
      <c r="E155" s="389">
        <f>E154*D155</f>
        <v>2.4750000000000001</v>
      </c>
      <c r="F155" s="390"/>
      <c r="G155" s="390"/>
      <c r="H155" s="389">
        <v>6</v>
      </c>
      <c r="I155" s="389">
        <f>H155*E155</f>
        <v>14.850000000000001</v>
      </c>
      <c r="J155" s="390"/>
      <c r="K155" s="390"/>
      <c r="L155" s="369">
        <f t="shared" ref="L155:L162" si="12">K155+I155+G155</f>
        <v>14.850000000000001</v>
      </c>
    </row>
    <row r="156" spans="1:16" s="385" customFormat="1" ht="15" customHeight="1">
      <c r="A156" s="386"/>
      <c r="B156" s="387" t="s">
        <v>169</v>
      </c>
      <c r="C156" s="388" t="s">
        <v>63</v>
      </c>
      <c r="D156" s="388">
        <v>4.2000000000000002E-4</v>
      </c>
      <c r="E156" s="389">
        <f>E154*D156</f>
        <v>3.15E-2</v>
      </c>
      <c r="F156" s="390"/>
      <c r="G156" s="390"/>
      <c r="H156" s="390"/>
      <c r="I156" s="390"/>
      <c r="J156" s="822">
        <v>35.729999999999997</v>
      </c>
      <c r="K156" s="389">
        <f>J156*E156</f>
        <v>1.1254949999999999</v>
      </c>
      <c r="L156" s="369">
        <f t="shared" si="12"/>
        <v>1.1254949999999999</v>
      </c>
    </row>
    <row r="157" spans="1:16" s="385" customFormat="1" ht="15" customHeight="1">
      <c r="A157" s="386"/>
      <c r="B157" s="387" t="s">
        <v>170</v>
      </c>
      <c r="C157" s="388" t="s">
        <v>63</v>
      </c>
      <c r="D157" s="388">
        <v>2.5799999999999998E-3</v>
      </c>
      <c r="E157" s="389">
        <f>E154*D157</f>
        <v>0.19349999999999998</v>
      </c>
      <c r="F157" s="390"/>
      <c r="G157" s="390"/>
      <c r="H157" s="390"/>
      <c r="I157" s="390"/>
      <c r="J157" s="866">
        <v>38.82</v>
      </c>
      <c r="K157" s="389">
        <f>J157*E157</f>
        <v>7.5116699999999996</v>
      </c>
      <c r="L157" s="369">
        <f t="shared" si="12"/>
        <v>7.5116699999999996</v>
      </c>
    </row>
    <row r="158" spans="1:16" s="247" customFormat="1" ht="16.2">
      <c r="A158" s="386"/>
      <c r="B158" s="387" t="s">
        <v>171</v>
      </c>
      <c r="C158" s="388" t="s">
        <v>63</v>
      </c>
      <c r="D158" s="388">
        <v>1.12E-2</v>
      </c>
      <c r="E158" s="389">
        <f>E154*D158</f>
        <v>0.84</v>
      </c>
      <c r="F158" s="390"/>
      <c r="G158" s="390"/>
      <c r="H158" s="390"/>
      <c r="I158" s="390"/>
      <c r="J158" s="818">
        <v>23.21</v>
      </c>
      <c r="K158" s="389">
        <f>J158*E158</f>
        <v>19.496400000000001</v>
      </c>
      <c r="L158" s="369">
        <f t="shared" si="12"/>
        <v>19.496400000000001</v>
      </c>
    </row>
    <row r="159" spans="1:16" s="247" customFormat="1" ht="16.2">
      <c r="A159" s="386"/>
      <c r="B159" s="387" t="s">
        <v>172</v>
      </c>
      <c r="C159" s="388" t="s">
        <v>63</v>
      </c>
      <c r="D159" s="388">
        <v>0.248</v>
      </c>
      <c r="E159" s="389">
        <f>E154*D159</f>
        <v>18.600000000000001</v>
      </c>
      <c r="F159" s="390"/>
      <c r="G159" s="390"/>
      <c r="H159" s="390"/>
      <c r="I159" s="390"/>
      <c r="J159" s="818">
        <v>27.72</v>
      </c>
      <c r="K159" s="389">
        <f>J159*E159</f>
        <v>515.59199999999998</v>
      </c>
      <c r="L159" s="369">
        <f t="shared" si="12"/>
        <v>515.59199999999998</v>
      </c>
    </row>
    <row r="160" spans="1:16" s="409" customFormat="1" ht="13.5" customHeight="1">
      <c r="A160" s="391"/>
      <c r="B160" s="408" t="s">
        <v>137</v>
      </c>
      <c r="C160" s="404" t="s">
        <v>44</v>
      </c>
      <c r="D160" s="392">
        <v>4.1399999999999996E-3</v>
      </c>
      <c r="E160" s="1141">
        <f>D160*E154</f>
        <v>0.31049999999999994</v>
      </c>
      <c r="F160" s="392"/>
      <c r="G160" s="393"/>
      <c r="H160" s="394"/>
      <c r="I160" s="395"/>
      <c r="J160" s="849">
        <v>62.72</v>
      </c>
      <c r="K160" s="395">
        <f>J160*E160</f>
        <v>19.474559999999997</v>
      </c>
      <c r="L160" s="395">
        <f t="shared" si="12"/>
        <v>19.474559999999997</v>
      </c>
    </row>
    <row r="161" spans="1:18" s="398" customFormat="1" ht="17.399999999999999">
      <c r="A161" s="386"/>
      <c r="B161" s="387" t="s">
        <v>173</v>
      </c>
      <c r="C161" s="368" t="s">
        <v>150</v>
      </c>
      <c r="D161" s="388">
        <v>0.14899999999999999</v>
      </c>
      <c r="E161" s="389">
        <f>E154*D161</f>
        <v>11.174999999999999</v>
      </c>
      <c r="F161" s="440">
        <v>24.9</v>
      </c>
      <c r="G161" s="389">
        <f>F161*E161</f>
        <v>278.25749999999994</v>
      </c>
      <c r="H161" s="390"/>
      <c r="I161" s="390"/>
      <c r="J161" s="390"/>
      <c r="K161" s="390"/>
      <c r="L161" s="369">
        <f t="shared" si="12"/>
        <v>278.25749999999994</v>
      </c>
      <c r="M161" s="397"/>
      <c r="N161" s="397"/>
      <c r="O161" s="397"/>
      <c r="P161" s="397"/>
      <c r="Q161" s="397"/>
      <c r="R161" s="397"/>
    </row>
    <row r="162" spans="1:18" s="954" customFormat="1" ht="17.399999999999999">
      <c r="A162" s="822"/>
      <c r="B162" s="819" t="s">
        <v>134</v>
      </c>
      <c r="C162" s="822" t="s">
        <v>139</v>
      </c>
      <c r="D162" s="950">
        <v>1.0999999999999999E-2</v>
      </c>
      <c r="E162" s="822">
        <f>D162*E154</f>
        <v>0.82499999999999996</v>
      </c>
      <c r="F162" s="951">
        <v>4.3099999999999996</v>
      </c>
      <c r="G162" s="952">
        <f>F162*E162</f>
        <v>3.5557499999999993</v>
      </c>
      <c r="H162" s="952"/>
      <c r="I162" s="952"/>
      <c r="J162" s="952"/>
      <c r="K162" s="952"/>
      <c r="L162" s="997">
        <f t="shared" si="12"/>
        <v>3.5557499999999993</v>
      </c>
      <c r="M162" s="953"/>
      <c r="N162" s="953"/>
      <c r="O162" s="953"/>
      <c r="P162" s="953"/>
      <c r="Q162" s="953"/>
      <c r="R162" s="953"/>
    </row>
    <row r="163" spans="1:18" s="385" customFormat="1" ht="45">
      <c r="A163" s="377">
        <v>34</v>
      </c>
      <c r="B163" s="378" t="s">
        <v>322</v>
      </c>
      <c r="C163" s="379" t="s">
        <v>168</v>
      </c>
      <c r="D163" s="380"/>
      <c r="E163" s="406">
        <v>75</v>
      </c>
      <c r="F163" s="382"/>
      <c r="G163" s="382"/>
      <c r="H163" s="383"/>
      <c r="I163" s="383"/>
      <c r="J163" s="383"/>
      <c r="K163" s="383"/>
      <c r="L163" s="384"/>
    </row>
    <row r="164" spans="1:18" s="385" customFormat="1" ht="15" customHeight="1">
      <c r="A164" s="386"/>
      <c r="B164" s="387" t="s">
        <v>101</v>
      </c>
      <c r="C164" s="388" t="s">
        <v>60</v>
      </c>
      <c r="D164" s="388">
        <v>3.3000000000000002E-2</v>
      </c>
      <c r="E164" s="389">
        <f>E163*D164</f>
        <v>2.4750000000000001</v>
      </c>
      <c r="F164" s="390"/>
      <c r="G164" s="390"/>
      <c r="H164" s="389">
        <v>6</v>
      </c>
      <c r="I164" s="389">
        <f>H164*E164</f>
        <v>14.850000000000001</v>
      </c>
      <c r="J164" s="390"/>
      <c r="K164" s="390"/>
      <c r="L164" s="369">
        <f t="shared" ref="L164:L171" si="13">K164+I164+G164</f>
        <v>14.850000000000001</v>
      </c>
    </row>
    <row r="165" spans="1:18" s="385" customFormat="1" ht="15" customHeight="1">
      <c r="A165" s="386"/>
      <c r="B165" s="387" t="s">
        <v>169</v>
      </c>
      <c r="C165" s="388" t="s">
        <v>63</v>
      </c>
      <c r="D165" s="388">
        <v>4.2000000000000002E-4</v>
      </c>
      <c r="E165" s="389">
        <f>E163*D165</f>
        <v>3.15E-2</v>
      </c>
      <c r="F165" s="390"/>
      <c r="G165" s="390"/>
      <c r="H165" s="390"/>
      <c r="I165" s="390"/>
      <c r="J165" s="822">
        <v>35.729999999999997</v>
      </c>
      <c r="K165" s="389">
        <f>J165*E165</f>
        <v>1.1254949999999999</v>
      </c>
      <c r="L165" s="369">
        <f t="shared" si="13"/>
        <v>1.1254949999999999</v>
      </c>
    </row>
    <row r="166" spans="1:18" s="385" customFormat="1" ht="15" customHeight="1">
      <c r="A166" s="386"/>
      <c r="B166" s="387" t="s">
        <v>170</v>
      </c>
      <c r="C166" s="388" t="s">
        <v>63</v>
      </c>
      <c r="D166" s="388">
        <v>2.5799999999999998E-3</v>
      </c>
      <c r="E166" s="389">
        <f>E163*D166</f>
        <v>0.19349999999999998</v>
      </c>
      <c r="F166" s="390"/>
      <c r="G166" s="390"/>
      <c r="H166" s="390"/>
      <c r="I166" s="390"/>
      <c r="J166" s="866">
        <v>38.82</v>
      </c>
      <c r="K166" s="389">
        <f>J166*E166</f>
        <v>7.5116699999999996</v>
      </c>
      <c r="L166" s="369">
        <f t="shared" si="13"/>
        <v>7.5116699999999996</v>
      </c>
    </row>
    <row r="167" spans="1:18" s="247" customFormat="1" ht="16.2">
      <c r="A167" s="386"/>
      <c r="B167" s="387" t="s">
        <v>171</v>
      </c>
      <c r="C167" s="388" t="s">
        <v>63</v>
      </c>
      <c r="D167" s="388">
        <v>1.12E-2</v>
      </c>
      <c r="E167" s="389">
        <f>E163*D167</f>
        <v>0.84</v>
      </c>
      <c r="F167" s="390"/>
      <c r="G167" s="390"/>
      <c r="H167" s="390"/>
      <c r="I167" s="390"/>
      <c r="J167" s="818">
        <v>23.21</v>
      </c>
      <c r="K167" s="389">
        <f>J167*E167</f>
        <v>19.496400000000001</v>
      </c>
      <c r="L167" s="369">
        <f t="shared" si="13"/>
        <v>19.496400000000001</v>
      </c>
    </row>
    <row r="168" spans="1:18" s="247" customFormat="1" ht="16.2">
      <c r="A168" s="386"/>
      <c r="B168" s="387" t="s">
        <v>172</v>
      </c>
      <c r="C168" s="388" t="s">
        <v>63</v>
      </c>
      <c r="D168" s="388">
        <v>0.248</v>
      </c>
      <c r="E168" s="389">
        <f>E163*D168</f>
        <v>18.600000000000001</v>
      </c>
      <c r="F168" s="390"/>
      <c r="G168" s="390"/>
      <c r="H168" s="390"/>
      <c r="I168" s="390"/>
      <c r="J168" s="818">
        <v>27.72</v>
      </c>
      <c r="K168" s="389">
        <f>J168*E168</f>
        <v>515.59199999999998</v>
      </c>
      <c r="L168" s="369">
        <f t="shared" si="13"/>
        <v>515.59199999999998</v>
      </c>
    </row>
    <row r="169" spans="1:18" s="409" customFormat="1" ht="13.5" customHeight="1">
      <c r="A169" s="391"/>
      <c r="B169" s="408" t="s">
        <v>137</v>
      </c>
      <c r="C169" s="404" t="s">
        <v>44</v>
      </c>
      <c r="D169" s="392">
        <v>4.1399999999999996E-3</v>
      </c>
      <c r="E169" s="1141">
        <f>D169*E163</f>
        <v>0.31049999999999994</v>
      </c>
      <c r="F169" s="392"/>
      <c r="G169" s="393"/>
      <c r="H169" s="394"/>
      <c r="I169" s="395"/>
      <c r="J169" s="849">
        <v>62.72</v>
      </c>
      <c r="K169" s="395">
        <f>J169*E169</f>
        <v>19.474559999999997</v>
      </c>
      <c r="L169" s="395">
        <f t="shared" si="13"/>
        <v>19.474559999999997</v>
      </c>
    </row>
    <row r="170" spans="1:18" s="398" customFormat="1" ht="17.399999999999999">
      <c r="A170" s="386"/>
      <c r="B170" s="387" t="s">
        <v>173</v>
      </c>
      <c r="C170" s="368" t="s">
        <v>150</v>
      </c>
      <c r="D170" s="388">
        <v>0.14899999999999999</v>
      </c>
      <c r="E170" s="389">
        <f>E163*D170</f>
        <v>11.174999999999999</v>
      </c>
      <c r="F170" s="440">
        <v>24.9</v>
      </c>
      <c r="G170" s="389">
        <f>F170*E170</f>
        <v>278.25749999999994</v>
      </c>
      <c r="H170" s="390"/>
      <c r="I170" s="390"/>
      <c r="J170" s="390"/>
      <c r="K170" s="390"/>
      <c r="L170" s="369">
        <f t="shared" si="13"/>
        <v>278.25749999999994</v>
      </c>
      <c r="M170" s="397"/>
      <c r="N170" s="397"/>
      <c r="O170" s="397"/>
      <c r="P170" s="397"/>
      <c r="Q170" s="397"/>
      <c r="R170" s="397"/>
    </row>
    <row r="171" spans="1:18" s="954" customFormat="1" ht="17.399999999999999">
      <c r="A171" s="822"/>
      <c r="B171" s="819" t="s">
        <v>134</v>
      </c>
      <c r="C171" s="822" t="s">
        <v>139</v>
      </c>
      <c r="D171" s="950">
        <v>1.0999999999999999E-2</v>
      </c>
      <c r="E171" s="822">
        <f>D171*E163</f>
        <v>0.82499999999999996</v>
      </c>
      <c r="F171" s="951">
        <v>4.3099999999999996</v>
      </c>
      <c r="G171" s="952">
        <f>F171*E171</f>
        <v>3.5557499999999993</v>
      </c>
      <c r="H171" s="952"/>
      <c r="I171" s="952"/>
      <c r="J171" s="952"/>
      <c r="K171" s="952"/>
      <c r="L171" s="997">
        <f t="shared" si="13"/>
        <v>3.5557499999999993</v>
      </c>
      <c r="M171" s="953"/>
      <c r="N171" s="953"/>
      <c r="O171" s="953"/>
      <c r="P171" s="953"/>
      <c r="Q171" s="953"/>
      <c r="R171" s="953"/>
    </row>
    <row r="172" spans="1:18" s="403" customFormat="1" ht="16.2">
      <c r="A172" s="377">
        <v>35</v>
      </c>
      <c r="B172" s="378" t="s">
        <v>174</v>
      </c>
      <c r="C172" s="379" t="s">
        <v>47</v>
      </c>
      <c r="D172" s="399"/>
      <c r="E172" s="381">
        <v>4.4999999999999998E-2</v>
      </c>
      <c r="F172" s="381"/>
      <c r="G172" s="381"/>
      <c r="H172" s="400"/>
      <c r="I172" s="400"/>
      <c r="J172" s="400"/>
      <c r="K172" s="400"/>
      <c r="L172" s="401"/>
      <c r="M172" s="402"/>
      <c r="N172" s="402"/>
      <c r="O172" s="402"/>
      <c r="P172" s="402"/>
      <c r="Q172" s="402"/>
      <c r="R172" s="402"/>
    </row>
    <row r="173" spans="1:18" s="398" customFormat="1" ht="16.2">
      <c r="A173" s="386"/>
      <c r="B173" s="387" t="s">
        <v>175</v>
      </c>
      <c r="C173" s="388" t="s">
        <v>63</v>
      </c>
      <c r="D173" s="388">
        <v>0.3</v>
      </c>
      <c r="E173" s="389">
        <f>D173*E172</f>
        <v>1.35E-2</v>
      </c>
      <c r="F173" s="389"/>
      <c r="G173" s="389"/>
      <c r="H173" s="390"/>
      <c r="I173" s="390"/>
      <c r="J173" s="369">
        <v>69.319999999999993</v>
      </c>
      <c r="K173" s="389">
        <f>J173*E173</f>
        <v>0.93581999999999987</v>
      </c>
      <c r="L173" s="369">
        <f>K173+I173+G173</f>
        <v>0.93581999999999987</v>
      </c>
      <c r="M173" s="397"/>
      <c r="N173" s="397"/>
      <c r="O173" s="397"/>
      <c r="P173" s="397"/>
      <c r="Q173" s="397"/>
      <c r="R173" s="397"/>
    </row>
    <row r="174" spans="1:18" s="398" customFormat="1" ht="16.2">
      <c r="A174" s="386"/>
      <c r="B174" s="387" t="s">
        <v>176</v>
      </c>
      <c r="C174" s="368" t="s">
        <v>47</v>
      </c>
      <c r="D174" s="388">
        <v>1.03</v>
      </c>
      <c r="E174" s="389">
        <f>D174*E172</f>
        <v>4.6350000000000002E-2</v>
      </c>
      <c r="F174" s="389">
        <v>1606</v>
      </c>
      <c r="G174" s="389">
        <f>F174*E174</f>
        <v>74.438100000000006</v>
      </c>
      <c r="H174" s="390"/>
      <c r="I174" s="390"/>
      <c r="J174" s="390"/>
      <c r="K174" s="390"/>
      <c r="L174" s="369">
        <f>K174+I174+G174</f>
        <v>74.438100000000006</v>
      </c>
      <c r="M174" s="397"/>
      <c r="N174" s="397"/>
      <c r="O174" s="397"/>
      <c r="P174" s="397"/>
      <c r="Q174" s="397"/>
      <c r="R174" s="397"/>
    </row>
    <row r="175" spans="1:18" s="398" customFormat="1" ht="45.6">
      <c r="A175" s="377">
        <v>36</v>
      </c>
      <c r="B175" s="378" t="s">
        <v>401</v>
      </c>
      <c r="C175" s="379" t="s">
        <v>168</v>
      </c>
      <c r="D175" s="380"/>
      <c r="E175" s="406">
        <v>75</v>
      </c>
      <c r="F175" s="382"/>
      <c r="G175" s="381"/>
      <c r="H175" s="400"/>
      <c r="I175" s="400"/>
      <c r="J175" s="400"/>
      <c r="K175" s="400"/>
      <c r="L175" s="384"/>
      <c r="M175" s="397"/>
      <c r="N175" s="397"/>
      <c r="O175" s="397"/>
      <c r="P175" s="397"/>
      <c r="Q175" s="397"/>
      <c r="R175" s="397"/>
    </row>
    <row r="176" spans="1:18" s="398" customFormat="1" ht="17.399999999999999">
      <c r="A176" s="1080"/>
      <c r="B176" s="1081" t="s">
        <v>101</v>
      </c>
      <c r="C176" s="822" t="s">
        <v>149</v>
      </c>
      <c r="D176" s="1082">
        <v>1</v>
      </c>
      <c r="E176" s="1063">
        <f>D176*E175</f>
        <v>75</v>
      </c>
      <c r="F176" s="1083"/>
      <c r="G176" s="1083"/>
      <c r="H176" s="1063">
        <v>15.778</v>
      </c>
      <c r="I176" s="1063">
        <f>H176*E176</f>
        <v>1183.3500000000001</v>
      </c>
      <c r="J176" s="1083"/>
      <c r="K176" s="1083"/>
      <c r="L176" s="818">
        <f t="shared" ref="L176:L182" si="14">K176+I176+G176</f>
        <v>1183.3500000000001</v>
      </c>
      <c r="M176" s="397"/>
      <c r="N176" s="397"/>
      <c r="O176" s="397"/>
      <c r="P176" s="397"/>
      <c r="Q176" s="397"/>
    </row>
    <row r="177" spans="1:18" s="398" customFormat="1" ht="16.2">
      <c r="A177" s="1080"/>
      <c r="B177" s="1081" t="s">
        <v>177</v>
      </c>
      <c r="C177" s="1082" t="s">
        <v>63</v>
      </c>
      <c r="D177" s="1082">
        <v>3.0200000000000001E-3</v>
      </c>
      <c r="E177" s="1063">
        <f>D177*E175</f>
        <v>0.22650000000000001</v>
      </c>
      <c r="F177" s="1083"/>
      <c r="G177" s="1083"/>
      <c r="H177" s="1063"/>
      <c r="I177" s="1063"/>
      <c r="J177" s="1063">
        <v>28.56</v>
      </c>
      <c r="K177" s="1063">
        <f>J177*E177</f>
        <v>6.4688400000000001</v>
      </c>
      <c r="L177" s="818">
        <f t="shared" si="14"/>
        <v>6.4688400000000001</v>
      </c>
      <c r="M177" s="397"/>
      <c r="N177" s="397"/>
      <c r="O177" s="397"/>
      <c r="P177" s="397"/>
      <c r="Q177" s="397"/>
    </row>
    <row r="178" spans="1:18" s="247" customFormat="1" ht="16.2">
      <c r="A178" s="1080"/>
      <c r="B178" s="1081" t="s">
        <v>171</v>
      </c>
      <c r="C178" s="1082" t="s">
        <v>63</v>
      </c>
      <c r="D178" s="1082">
        <v>3.7000000000000002E-3</v>
      </c>
      <c r="E178" s="1063">
        <f>E175*D178</f>
        <v>0.27750000000000002</v>
      </c>
      <c r="F178" s="1083"/>
      <c r="G178" s="1083"/>
      <c r="H178" s="1083"/>
      <c r="I178" s="1083"/>
      <c r="J178" s="818">
        <v>23.21</v>
      </c>
      <c r="K178" s="1063">
        <f>J178*E178</f>
        <v>6.4407750000000004</v>
      </c>
      <c r="L178" s="818">
        <f t="shared" si="14"/>
        <v>6.4407750000000004</v>
      </c>
    </row>
    <row r="179" spans="1:18" s="247" customFormat="1" ht="16.2">
      <c r="A179" s="1080"/>
      <c r="B179" s="1081" t="s">
        <v>172</v>
      </c>
      <c r="C179" s="1082" t="s">
        <v>63</v>
      </c>
      <c r="D179" s="1082">
        <v>1.11E-2</v>
      </c>
      <c r="E179" s="1063">
        <f>E175*D179</f>
        <v>0.83250000000000002</v>
      </c>
      <c r="F179" s="1083"/>
      <c r="G179" s="1083"/>
      <c r="H179" s="1083"/>
      <c r="I179" s="1083"/>
      <c r="J179" s="818">
        <v>27.72</v>
      </c>
      <c r="K179" s="1063">
        <f>J179*E179</f>
        <v>23.076899999999998</v>
      </c>
      <c r="L179" s="818">
        <f t="shared" si="14"/>
        <v>23.076899999999998</v>
      </c>
    </row>
    <row r="180" spans="1:18" s="247" customFormat="1" ht="15.75" customHeight="1">
      <c r="A180" s="1080"/>
      <c r="B180" s="1081" t="s">
        <v>178</v>
      </c>
      <c r="C180" s="1082" t="s">
        <v>66</v>
      </c>
      <c r="D180" s="1082">
        <v>2.3E-3</v>
      </c>
      <c r="E180" s="1063">
        <f>E175*D180</f>
        <v>0.17249999999999999</v>
      </c>
      <c r="F180" s="1083"/>
      <c r="G180" s="1083"/>
      <c r="H180" s="1083"/>
      <c r="I180" s="1083"/>
      <c r="J180" s="1063">
        <v>4</v>
      </c>
      <c r="K180" s="1063">
        <f>J180*E180</f>
        <v>0.69</v>
      </c>
      <c r="L180" s="818">
        <f t="shared" si="14"/>
        <v>0.69</v>
      </c>
    </row>
    <row r="181" spans="1:18" s="405" customFormat="1" ht="29.25" customHeight="1">
      <c r="A181" s="1080"/>
      <c r="B181" s="1081" t="s">
        <v>179</v>
      </c>
      <c r="C181" s="814" t="s">
        <v>144</v>
      </c>
      <c r="D181" s="1082">
        <f>4*12.1/1000+0.0974</f>
        <v>0.14579999999999999</v>
      </c>
      <c r="E181" s="1063">
        <f>E175*D181</f>
        <v>10.934999999999999</v>
      </c>
      <c r="F181" s="1063">
        <v>130</v>
      </c>
      <c r="G181" s="1063">
        <f>F181*E181</f>
        <v>1421.5499999999997</v>
      </c>
      <c r="H181" s="1083"/>
      <c r="I181" s="1083"/>
      <c r="J181" s="1083"/>
      <c r="K181" s="1083"/>
      <c r="L181" s="818">
        <f t="shared" si="14"/>
        <v>1421.5499999999997</v>
      </c>
    </row>
    <row r="182" spans="1:18" s="398" customFormat="1" ht="16.2">
      <c r="A182" s="1080"/>
      <c r="B182" s="1081" t="s">
        <v>180</v>
      </c>
      <c r="C182" s="1082" t="s">
        <v>66</v>
      </c>
      <c r="D182" s="1082">
        <f>0.0145+4*0.2/1000</f>
        <v>1.5300000000000001E-2</v>
      </c>
      <c r="E182" s="1063">
        <f>E175*D182</f>
        <v>1.1475000000000002</v>
      </c>
      <c r="F182" s="1063">
        <v>4</v>
      </c>
      <c r="G182" s="1063">
        <f>F182*E182</f>
        <v>4.5900000000000007</v>
      </c>
      <c r="H182" s="1083"/>
      <c r="I182" s="1083"/>
      <c r="J182" s="1083"/>
      <c r="K182" s="1083"/>
      <c r="L182" s="818">
        <f t="shared" si="14"/>
        <v>4.5900000000000007</v>
      </c>
      <c r="M182" s="397"/>
      <c r="N182" s="397"/>
      <c r="O182" s="397"/>
      <c r="P182" s="397"/>
      <c r="Q182" s="397"/>
    </row>
    <row r="183" spans="1:18" s="398" customFormat="1" ht="45.6">
      <c r="A183" s="377">
        <v>37</v>
      </c>
      <c r="B183" s="378" t="s">
        <v>402</v>
      </c>
      <c r="C183" s="379" t="s">
        <v>168</v>
      </c>
      <c r="D183" s="380"/>
      <c r="E183" s="381">
        <f>E175</f>
        <v>75</v>
      </c>
      <c r="F183" s="382"/>
      <c r="G183" s="381"/>
      <c r="H183" s="400"/>
      <c r="I183" s="400"/>
      <c r="J183" s="400"/>
      <c r="K183" s="400"/>
      <c r="L183" s="384"/>
      <c r="M183" s="397"/>
      <c r="N183" s="397"/>
      <c r="O183" s="397"/>
      <c r="P183" s="397"/>
      <c r="Q183" s="397"/>
      <c r="R183" s="397"/>
    </row>
    <row r="184" spans="1:18" s="398" customFormat="1" ht="17.399999999999999">
      <c r="A184" s="1080"/>
      <c r="B184" s="1081" t="s">
        <v>101</v>
      </c>
      <c r="C184" s="822" t="s">
        <v>149</v>
      </c>
      <c r="D184" s="1082">
        <v>1</v>
      </c>
      <c r="E184" s="1063">
        <f>D184*E183</f>
        <v>75</v>
      </c>
      <c r="F184" s="1083"/>
      <c r="G184" s="1083"/>
      <c r="H184" s="1063">
        <v>15.778</v>
      </c>
      <c r="I184" s="1063">
        <f>H184*E184</f>
        <v>1183.3500000000001</v>
      </c>
      <c r="J184" s="1083"/>
      <c r="K184" s="1083"/>
      <c r="L184" s="818">
        <f t="shared" ref="L184:L190" si="15">K184+I184+G184</f>
        <v>1183.3500000000001</v>
      </c>
      <c r="M184" s="397"/>
      <c r="N184" s="397"/>
      <c r="O184" s="397"/>
      <c r="P184" s="397"/>
      <c r="Q184" s="397"/>
    </row>
    <row r="185" spans="1:18" s="398" customFormat="1" ht="16.2">
      <c r="A185" s="1080"/>
      <c r="B185" s="1081" t="s">
        <v>177</v>
      </c>
      <c r="C185" s="1082" t="s">
        <v>63</v>
      </c>
      <c r="D185" s="1082">
        <v>3.0200000000000001E-3</v>
      </c>
      <c r="E185" s="1063">
        <f>D185*E183</f>
        <v>0.22650000000000001</v>
      </c>
      <c r="F185" s="1083"/>
      <c r="G185" s="1083"/>
      <c r="H185" s="1063"/>
      <c r="I185" s="1063"/>
      <c r="J185" s="1063">
        <v>28.56</v>
      </c>
      <c r="K185" s="1063">
        <f>J185*E185</f>
        <v>6.4688400000000001</v>
      </c>
      <c r="L185" s="818">
        <f t="shared" si="15"/>
        <v>6.4688400000000001</v>
      </c>
      <c r="M185" s="397"/>
      <c r="N185" s="397"/>
      <c r="O185" s="397"/>
      <c r="P185" s="397"/>
      <c r="Q185" s="397"/>
    </row>
    <row r="186" spans="1:18" s="247" customFormat="1" ht="16.2">
      <c r="A186" s="1080"/>
      <c r="B186" s="1081" t="s">
        <v>171</v>
      </c>
      <c r="C186" s="1082" t="s">
        <v>63</v>
      </c>
      <c r="D186" s="1082">
        <v>3.7000000000000002E-3</v>
      </c>
      <c r="E186" s="1063">
        <f>E183*D186</f>
        <v>0.27750000000000002</v>
      </c>
      <c r="F186" s="1083"/>
      <c r="G186" s="1083"/>
      <c r="H186" s="1083"/>
      <c r="I186" s="1083"/>
      <c r="J186" s="818">
        <v>23.21</v>
      </c>
      <c r="K186" s="1063">
        <f>J186*E186</f>
        <v>6.4407750000000004</v>
      </c>
      <c r="L186" s="818">
        <f t="shared" si="15"/>
        <v>6.4407750000000004</v>
      </c>
    </row>
    <row r="187" spans="1:18" s="247" customFormat="1" ht="16.2">
      <c r="A187" s="1080"/>
      <c r="B187" s="1081" t="s">
        <v>172</v>
      </c>
      <c r="C187" s="1082" t="s">
        <v>63</v>
      </c>
      <c r="D187" s="1082">
        <v>1.11E-2</v>
      </c>
      <c r="E187" s="1063">
        <f>E183*D187</f>
        <v>0.83250000000000002</v>
      </c>
      <c r="F187" s="1083"/>
      <c r="G187" s="1083"/>
      <c r="H187" s="1083"/>
      <c r="I187" s="1083"/>
      <c r="J187" s="818">
        <v>27.72</v>
      </c>
      <c r="K187" s="1063">
        <f>J187*E187</f>
        <v>23.076899999999998</v>
      </c>
      <c r="L187" s="818">
        <f t="shared" si="15"/>
        <v>23.076899999999998</v>
      </c>
    </row>
    <row r="188" spans="1:18" s="385" customFormat="1" ht="15" customHeight="1">
      <c r="A188" s="1080"/>
      <c r="B188" s="1081" t="s">
        <v>178</v>
      </c>
      <c r="C188" s="1082" t="s">
        <v>66</v>
      </c>
      <c r="D188" s="1082">
        <v>2.3E-3</v>
      </c>
      <c r="E188" s="1063">
        <f>E183*D188</f>
        <v>0.17249999999999999</v>
      </c>
      <c r="F188" s="1083"/>
      <c r="G188" s="1083"/>
      <c r="H188" s="1083"/>
      <c r="I188" s="1083"/>
      <c r="J188" s="1063">
        <v>4</v>
      </c>
      <c r="K188" s="1063">
        <f>J188*E188</f>
        <v>0.69</v>
      </c>
      <c r="L188" s="818">
        <f t="shared" si="15"/>
        <v>0.69</v>
      </c>
    </row>
    <row r="189" spans="1:18" s="290" customFormat="1" ht="30">
      <c r="A189" s="1080"/>
      <c r="B189" s="1081" t="s">
        <v>181</v>
      </c>
      <c r="C189" s="814" t="s">
        <v>144</v>
      </c>
      <c r="D189" s="1082">
        <f>0.0939+2*11.7/1000</f>
        <v>0.11729999999999999</v>
      </c>
      <c r="E189" s="1063">
        <f>E183*D189</f>
        <v>8.7974999999999994</v>
      </c>
      <c r="F189" s="1063">
        <v>138</v>
      </c>
      <c r="G189" s="1063">
        <f>F189*E189</f>
        <v>1214.0549999999998</v>
      </c>
      <c r="H189" s="1083"/>
      <c r="I189" s="1083"/>
      <c r="J189" s="1083"/>
      <c r="K189" s="1083"/>
      <c r="L189" s="818">
        <f t="shared" si="15"/>
        <v>1214.0549999999998</v>
      </c>
    </row>
    <row r="190" spans="1:18" s="385" customFormat="1" ht="15" customHeight="1">
      <c r="A190" s="1080"/>
      <c r="B190" s="1081" t="s">
        <v>180</v>
      </c>
      <c r="C190" s="1082" t="s">
        <v>66</v>
      </c>
      <c r="D190" s="1082">
        <f>0.0145+2*0.2/1000</f>
        <v>1.49E-2</v>
      </c>
      <c r="E190" s="1063">
        <f>E183*D190</f>
        <v>1.1174999999999999</v>
      </c>
      <c r="F190" s="1063">
        <v>4</v>
      </c>
      <c r="G190" s="1063">
        <f>F190*E190</f>
        <v>4.47</v>
      </c>
      <c r="H190" s="1083"/>
      <c r="I190" s="1083"/>
      <c r="J190" s="1083"/>
      <c r="K190" s="1083"/>
      <c r="L190" s="818">
        <f t="shared" si="15"/>
        <v>4.47</v>
      </c>
    </row>
    <row r="191" spans="1:18" s="415" customFormat="1" ht="37.5" customHeight="1">
      <c r="A191" s="410">
        <v>38</v>
      </c>
      <c r="B191" s="411" t="s">
        <v>182</v>
      </c>
      <c r="C191" s="379" t="s">
        <v>143</v>
      </c>
      <c r="D191" s="412"/>
      <c r="E191" s="413">
        <f>30*0.12</f>
        <v>3.5999999999999996</v>
      </c>
      <c r="F191" s="412"/>
      <c r="G191" s="414"/>
      <c r="H191" s="413"/>
      <c r="I191" s="413"/>
      <c r="J191" s="413"/>
      <c r="K191" s="413"/>
      <c r="L191" s="413"/>
    </row>
    <row r="192" spans="1:18" s="256" customFormat="1">
      <c r="A192" s="430"/>
      <c r="B192" s="431" t="s">
        <v>42</v>
      </c>
      <c r="C192" s="432" t="s">
        <v>128</v>
      </c>
      <c r="D192" s="433">
        <v>3.52</v>
      </c>
      <c r="E192" s="434">
        <f>D192*E191</f>
        <v>12.671999999999999</v>
      </c>
      <c r="F192" s="369"/>
      <c r="G192" s="369"/>
      <c r="H192" s="369">
        <v>7.8</v>
      </c>
      <c r="I192" s="369">
        <f>H192*E192</f>
        <v>98.841599999999985</v>
      </c>
      <c r="J192" s="369"/>
      <c r="K192" s="369"/>
      <c r="L192" s="369">
        <f>K192+I192+G192</f>
        <v>98.841599999999985</v>
      </c>
    </row>
    <row r="193" spans="1:16" s="409" customFormat="1">
      <c r="A193" s="368"/>
      <c r="B193" s="431" t="s">
        <v>49</v>
      </c>
      <c r="C193" s="432" t="s">
        <v>2</v>
      </c>
      <c r="D193" s="435">
        <v>1.06</v>
      </c>
      <c r="E193" s="436">
        <f>D193*E191</f>
        <v>3.8159999999999998</v>
      </c>
      <c r="F193" s="368"/>
      <c r="G193" s="368"/>
      <c r="H193" s="368"/>
      <c r="I193" s="368"/>
      <c r="J193" s="368">
        <v>4</v>
      </c>
      <c r="K193" s="369">
        <f>E193*J193</f>
        <v>15.263999999999999</v>
      </c>
      <c r="L193" s="369">
        <f>K193+I193+G193</f>
        <v>15.263999999999999</v>
      </c>
    </row>
    <row r="194" spans="1:16" s="441" customFormat="1" ht="13.5" customHeight="1">
      <c r="A194" s="416"/>
      <c r="B194" s="437" t="s">
        <v>46</v>
      </c>
      <c r="C194" s="432" t="s">
        <v>139</v>
      </c>
      <c r="D194" s="438">
        <v>1.24</v>
      </c>
      <c r="E194" s="439">
        <f>D194*E191</f>
        <v>4.4639999999999995</v>
      </c>
      <c r="F194" s="440">
        <v>24.9</v>
      </c>
      <c r="G194" s="369">
        <f>F194*E194</f>
        <v>111.15359999999998</v>
      </c>
      <c r="H194" s="368"/>
      <c r="I194" s="368"/>
      <c r="J194" s="368"/>
      <c r="K194" s="368"/>
      <c r="L194" s="369">
        <f>K194+I194+G194</f>
        <v>111.15359999999998</v>
      </c>
    </row>
    <row r="195" spans="1:16" s="409" customFormat="1">
      <c r="A195" s="368"/>
      <c r="B195" s="431" t="s">
        <v>51</v>
      </c>
      <c r="C195" s="432" t="s">
        <v>2</v>
      </c>
      <c r="D195" s="435">
        <v>0.02</v>
      </c>
      <c r="E195" s="436">
        <f>D195*E191</f>
        <v>7.1999999999999995E-2</v>
      </c>
      <c r="F195" s="368">
        <v>4</v>
      </c>
      <c r="G195" s="369">
        <f>F195*E195</f>
        <v>0.28799999999999998</v>
      </c>
      <c r="H195" s="368"/>
      <c r="I195" s="368"/>
      <c r="J195" s="368"/>
      <c r="K195" s="368"/>
      <c r="L195" s="369">
        <f>K195+I195+G195</f>
        <v>0.28799999999999998</v>
      </c>
    </row>
    <row r="196" spans="1:16" s="396" customFormat="1" ht="17.399999999999999">
      <c r="A196" s="417">
        <v>39</v>
      </c>
      <c r="B196" s="418" t="s">
        <v>301</v>
      </c>
      <c r="C196" s="417" t="s">
        <v>146</v>
      </c>
      <c r="D196" s="419"/>
      <c r="E196" s="420">
        <v>30</v>
      </c>
      <c r="F196" s="421"/>
      <c r="G196" s="422"/>
      <c r="H196" s="421"/>
      <c r="I196" s="423"/>
      <c r="J196" s="421"/>
      <c r="K196" s="423"/>
      <c r="L196" s="423"/>
    </row>
    <row r="197" spans="1:16" s="409" customFormat="1" ht="17.399999999999999">
      <c r="A197" s="407"/>
      <c r="B197" s="431" t="s">
        <v>42</v>
      </c>
      <c r="C197" s="407" t="s">
        <v>138</v>
      </c>
      <c r="D197" s="432">
        <v>1</v>
      </c>
      <c r="E197" s="434">
        <f>E196*D197</f>
        <v>30</v>
      </c>
      <c r="F197" s="393"/>
      <c r="G197" s="393"/>
      <c r="H197" s="393">
        <v>31.25</v>
      </c>
      <c r="I197" s="395">
        <f>H197*E197</f>
        <v>937.5</v>
      </c>
      <c r="J197" s="393"/>
      <c r="K197" s="395"/>
      <c r="L197" s="395">
        <f t="shared" ref="L197:L207" si="16">K197+I197+G197</f>
        <v>937.5</v>
      </c>
    </row>
    <row r="198" spans="1:16" s="409" customFormat="1">
      <c r="A198" s="391"/>
      <c r="B198" s="408" t="s">
        <v>133</v>
      </c>
      <c r="C198" s="392" t="s">
        <v>44</v>
      </c>
      <c r="D198" s="392">
        <v>2.2599999999999999E-2</v>
      </c>
      <c r="E198" s="395">
        <f>D198*E196</f>
        <v>0.67799999999999994</v>
      </c>
      <c r="F198" s="392"/>
      <c r="G198" s="393"/>
      <c r="H198" s="394"/>
      <c r="I198" s="395"/>
      <c r="J198" s="849">
        <v>62.72</v>
      </c>
      <c r="K198" s="395">
        <f>J198*E198</f>
        <v>42.524159999999995</v>
      </c>
      <c r="L198" s="395">
        <f t="shared" si="16"/>
        <v>42.524159999999995</v>
      </c>
    </row>
    <row r="199" spans="1:16" s="409" customFormat="1">
      <c r="A199" s="407"/>
      <c r="B199" s="431" t="s">
        <v>45</v>
      </c>
      <c r="C199" s="432" t="s">
        <v>2</v>
      </c>
      <c r="D199" s="435">
        <v>1.35E-2</v>
      </c>
      <c r="E199" s="442">
        <f>E196*D199</f>
        <v>0.40499999999999997</v>
      </c>
      <c r="F199" s="393"/>
      <c r="G199" s="393"/>
      <c r="H199" s="393"/>
      <c r="I199" s="395"/>
      <c r="J199" s="393">
        <v>4</v>
      </c>
      <c r="K199" s="395">
        <f>J199*E199</f>
        <v>1.6199999999999999</v>
      </c>
      <c r="L199" s="395">
        <f t="shared" si="16"/>
        <v>1.6199999999999999</v>
      </c>
    </row>
    <row r="200" spans="1:16" s="409" customFormat="1" ht="17.399999999999999">
      <c r="A200" s="407"/>
      <c r="B200" s="558" t="s">
        <v>147</v>
      </c>
      <c r="C200" s="432" t="s">
        <v>139</v>
      </c>
      <c r="D200" s="435"/>
      <c r="E200" s="442">
        <v>11</v>
      </c>
      <c r="F200" s="393">
        <f>148/1.18</f>
        <v>125.42372881355932</v>
      </c>
      <c r="G200" s="393">
        <f t="shared" ref="G200:G207" si="17">F200*E200</f>
        <v>1379.6610169491526</v>
      </c>
      <c r="H200" s="393"/>
      <c r="I200" s="395"/>
      <c r="J200" s="393"/>
      <c r="K200" s="395"/>
      <c r="L200" s="395">
        <f t="shared" si="16"/>
        <v>1379.6610169491526</v>
      </c>
    </row>
    <row r="201" spans="1:16" s="551" customFormat="1" ht="24" customHeight="1">
      <c r="A201" s="563"/>
      <c r="B201" s="566" t="s">
        <v>203</v>
      </c>
      <c r="C201" s="559" t="s">
        <v>47</v>
      </c>
      <c r="D201" s="511"/>
      <c r="E201" s="929">
        <f>3*1.01/1000</f>
        <v>3.0300000000000001E-3</v>
      </c>
      <c r="F201" s="843">
        <v>2595</v>
      </c>
      <c r="G201" s="930">
        <f t="shared" si="17"/>
        <v>7.8628500000000008</v>
      </c>
      <c r="H201" s="565"/>
      <c r="I201" s="565"/>
      <c r="J201" s="565"/>
      <c r="K201" s="565"/>
      <c r="L201" s="512">
        <f t="shared" si="16"/>
        <v>7.8628500000000008</v>
      </c>
      <c r="M201" s="567"/>
      <c r="N201" s="567"/>
      <c r="O201" s="567"/>
      <c r="P201" s="556"/>
    </row>
    <row r="202" spans="1:16" s="409" customFormat="1">
      <c r="A202" s="407"/>
      <c r="B202" s="443" t="s">
        <v>183</v>
      </c>
      <c r="C202" s="432" t="s">
        <v>47</v>
      </c>
      <c r="D202" s="435">
        <v>8.5000000000000006E-3</v>
      </c>
      <c r="E202" s="929">
        <f>14*1.01/1000</f>
        <v>1.414E-2</v>
      </c>
      <c r="F202" s="844">
        <v>2376</v>
      </c>
      <c r="G202" s="393">
        <f t="shared" si="17"/>
        <v>33.596640000000001</v>
      </c>
      <c r="H202" s="393"/>
      <c r="I202" s="395"/>
      <c r="J202" s="393"/>
      <c r="K202" s="395"/>
      <c r="L202" s="395">
        <f t="shared" si="16"/>
        <v>33.596640000000001</v>
      </c>
    </row>
    <row r="203" spans="1:16" ht="13.5" customHeight="1">
      <c r="A203" s="770"/>
      <c r="B203" s="772" t="s">
        <v>283</v>
      </c>
      <c r="C203" s="730" t="s">
        <v>47</v>
      </c>
      <c r="D203" s="875"/>
      <c r="E203" s="876">
        <f>394/1000*1.01</f>
        <v>0.39794000000000002</v>
      </c>
      <c r="F203" s="877">
        <v>2339</v>
      </c>
      <c r="G203" s="707">
        <f t="shared" si="17"/>
        <v>930.78165999999999</v>
      </c>
      <c r="H203" s="878"/>
      <c r="I203" s="879"/>
      <c r="J203" s="880"/>
      <c r="K203" s="880"/>
      <c r="L203" s="707">
        <f t="shared" si="16"/>
        <v>930.78165999999999</v>
      </c>
    </row>
    <row r="204" spans="1:16" s="409" customFormat="1" ht="17.399999999999999">
      <c r="A204" s="424"/>
      <c r="B204" s="431" t="s">
        <v>135</v>
      </c>
      <c r="C204" s="368" t="s">
        <v>138</v>
      </c>
      <c r="D204" s="368">
        <v>1.17E-2</v>
      </c>
      <c r="E204" s="369">
        <f>D204*E196</f>
        <v>0.35100000000000003</v>
      </c>
      <c r="F204" s="818">
        <v>25.73</v>
      </c>
      <c r="G204" s="425">
        <f t="shared" si="17"/>
        <v>9.0312300000000008</v>
      </c>
      <c r="H204" s="369"/>
      <c r="I204" s="426"/>
      <c r="J204" s="424"/>
      <c r="K204" s="424"/>
      <c r="L204" s="425">
        <f t="shared" si="16"/>
        <v>9.0312300000000008</v>
      </c>
    </row>
    <row r="205" spans="1:16" s="409" customFormat="1" ht="17.399999999999999">
      <c r="A205" s="407"/>
      <c r="B205" s="443" t="s">
        <v>134</v>
      </c>
      <c r="C205" s="432" t="s">
        <v>139</v>
      </c>
      <c r="D205" s="435">
        <v>0.17799999999999999</v>
      </c>
      <c r="E205" s="442">
        <f>D205*E196</f>
        <v>5.34</v>
      </c>
      <c r="F205" s="444">
        <v>4.3099999999999996</v>
      </c>
      <c r="G205" s="393">
        <f t="shared" si="17"/>
        <v>23.015399999999996</v>
      </c>
      <c r="H205" s="393"/>
      <c r="I205" s="395"/>
      <c r="J205" s="393"/>
      <c r="K205" s="395"/>
      <c r="L205" s="395">
        <f>K205+I205+G205</f>
        <v>23.015399999999996</v>
      </c>
    </row>
    <row r="206" spans="1:16" s="409" customFormat="1" ht="17.399999999999999">
      <c r="A206" s="407"/>
      <c r="B206" s="443" t="s">
        <v>126</v>
      </c>
      <c r="C206" s="432" t="s">
        <v>139</v>
      </c>
      <c r="D206" s="435">
        <v>0.04</v>
      </c>
      <c r="E206" s="442">
        <f>D206*E196</f>
        <v>1.2</v>
      </c>
      <c r="F206" s="444">
        <v>29.7</v>
      </c>
      <c r="G206" s="393">
        <f t="shared" si="17"/>
        <v>35.64</v>
      </c>
      <c r="H206" s="393"/>
      <c r="I206" s="395"/>
      <c r="J206" s="393"/>
      <c r="K206" s="395"/>
      <c r="L206" s="395">
        <f>K206+I206+G206</f>
        <v>35.64</v>
      </c>
    </row>
    <row r="207" spans="1:16" s="409" customFormat="1">
      <c r="A207" s="407"/>
      <c r="B207" s="431" t="s">
        <v>51</v>
      </c>
      <c r="C207" s="432" t="s">
        <v>2</v>
      </c>
      <c r="D207" s="435">
        <v>6.4000000000000003E-3</v>
      </c>
      <c r="E207" s="442">
        <f>E196*D207</f>
        <v>0.192</v>
      </c>
      <c r="F207" s="393">
        <v>4</v>
      </c>
      <c r="G207" s="393">
        <f t="shared" si="17"/>
        <v>0.76800000000000002</v>
      </c>
      <c r="H207" s="393"/>
      <c r="I207" s="395"/>
      <c r="J207" s="393"/>
      <c r="K207" s="395"/>
      <c r="L207" s="395">
        <f t="shared" si="16"/>
        <v>0.76800000000000002</v>
      </c>
    </row>
    <row r="208" spans="1:16" s="448" customFormat="1" ht="17.399999999999999">
      <c r="A208" s="417">
        <v>40</v>
      </c>
      <c r="B208" s="446" t="s">
        <v>185</v>
      </c>
      <c r="C208" s="379" t="s">
        <v>146</v>
      </c>
      <c r="D208" s="447"/>
      <c r="E208" s="420">
        <v>30</v>
      </c>
      <c r="F208" s="421"/>
      <c r="G208" s="421"/>
      <c r="H208" s="421"/>
      <c r="I208" s="420"/>
      <c r="J208" s="421"/>
      <c r="K208" s="420"/>
      <c r="L208" s="420"/>
    </row>
    <row r="209" spans="1:18" s="398" customFormat="1" ht="24.75" customHeight="1">
      <c r="A209" s="368"/>
      <c r="B209" s="431" t="s">
        <v>42</v>
      </c>
      <c r="C209" s="404" t="s">
        <v>43</v>
      </c>
      <c r="D209" s="432">
        <v>0.81100000000000005</v>
      </c>
      <c r="E209" s="434">
        <f>D209*E208</f>
        <v>24.330000000000002</v>
      </c>
      <c r="F209" s="369"/>
      <c r="G209" s="369"/>
      <c r="H209" s="369">
        <v>6</v>
      </c>
      <c r="I209" s="369">
        <f>H209*E209</f>
        <v>145.98000000000002</v>
      </c>
      <c r="J209" s="369"/>
      <c r="K209" s="369"/>
      <c r="L209" s="369">
        <f>K209+I209+G209</f>
        <v>145.98000000000002</v>
      </c>
    </row>
    <row r="210" spans="1:18" s="409" customFormat="1" ht="24.75" customHeight="1">
      <c r="A210" s="407"/>
      <c r="B210" s="431" t="s">
        <v>49</v>
      </c>
      <c r="C210" s="432" t="s">
        <v>2</v>
      </c>
      <c r="D210" s="449">
        <v>1.2999999999999999E-2</v>
      </c>
      <c r="E210" s="442">
        <f>D210*E208</f>
        <v>0.38999999999999996</v>
      </c>
      <c r="F210" s="393"/>
      <c r="G210" s="393"/>
      <c r="H210" s="393"/>
      <c r="I210" s="395"/>
      <c r="J210" s="393">
        <v>4</v>
      </c>
      <c r="K210" s="395">
        <f>J210*E210</f>
        <v>1.5599999999999998</v>
      </c>
      <c r="L210" s="395">
        <f>K210+I210+G210</f>
        <v>1.5599999999999998</v>
      </c>
    </row>
    <row r="211" spans="1:18" s="409" customFormat="1">
      <c r="A211" s="407"/>
      <c r="B211" s="431" t="s">
        <v>186</v>
      </c>
      <c r="C211" s="432" t="s">
        <v>47</v>
      </c>
      <c r="D211" s="435">
        <v>1.8599999999999998E-2</v>
      </c>
      <c r="E211" s="442">
        <f>D211*E208</f>
        <v>0.55799999999999994</v>
      </c>
      <c r="F211" s="393">
        <v>890</v>
      </c>
      <c r="G211" s="393">
        <f t="shared" ref="G211:G213" si="18">F211*E211</f>
        <v>496.61999999999995</v>
      </c>
      <c r="H211" s="393"/>
      <c r="I211" s="395"/>
      <c r="J211" s="393"/>
      <c r="K211" s="395"/>
      <c r="L211" s="395">
        <f t="shared" ref="L211:L213" si="19">K211+I211+G211</f>
        <v>496.61999999999995</v>
      </c>
    </row>
    <row r="212" spans="1:18" s="409" customFormat="1">
      <c r="A212" s="407"/>
      <c r="B212" s="431" t="s">
        <v>67</v>
      </c>
      <c r="C212" s="432" t="s">
        <v>47</v>
      </c>
      <c r="D212" s="435">
        <v>5.0000000000000001E-4</v>
      </c>
      <c r="E212" s="442">
        <f>D212*E208</f>
        <v>1.4999999999999999E-2</v>
      </c>
      <c r="F212" s="393">
        <v>207.5</v>
      </c>
      <c r="G212" s="393">
        <f t="shared" si="18"/>
        <v>3.1124999999999998</v>
      </c>
      <c r="H212" s="393"/>
      <c r="I212" s="395"/>
      <c r="J212" s="393"/>
      <c r="K212" s="395"/>
      <c r="L212" s="395">
        <f t="shared" si="19"/>
        <v>3.1124999999999998</v>
      </c>
    </row>
    <row r="213" spans="1:18" s="409" customFormat="1">
      <c r="A213" s="407"/>
      <c r="B213" s="431" t="s">
        <v>51</v>
      </c>
      <c r="C213" s="432" t="s">
        <v>2</v>
      </c>
      <c r="D213" s="435">
        <v>0.156</v>
      </c>
      <c r="E213" s="442">
        <f>E204*E208</f>
        <v>10.530000000000001</v>
      </c>
      <c r="F213" s="393">
        <v>4</v>
      </c>
      <c r="G213" s="393">
        <f t="shared" si="18"/>
        <v>42.120000000000005</v>
      </c>
      <c r="H213" s="393"/>
      <c r="I213" s="395"/>
      <c r="J213" s="393"/>
      <c r="K213" s="395"/>
      <c r="L213" s="395">
        <f t="shared" si="19"/>
        <v>42.120000000000005</v>
      </c>
    </row>
    <row r="214" spans="1:18" s="429" customFormat="1" ht="47.25" customHeight="1">
      <c r="A214" s="379">
        <v>41</v>
      </c>
      <c r="B214" s="427" t="s">
        <v>184</v>
      </c>
      <c r="C214" s="379" t="s">
        <v>146</v>
      </c>
      <c r="D214" s="428"/>
      <c r="E214" s="420">
        <v>40.64</v>
      </c>
      <c r="F214" s="401"/>
      <c r="G214" s="401"/>
      <c r="H214" s="401"/>
      <c r="I214" s="401"/>
      <c r="J214" s="401"/>
      <c r="K214" s="401"/>
      <c r="L214" s="401"/>
    </row>
    <row r="215" spans="1:18" s="398" customFormat="1" ht="24.75" customHeight="1">
      <c r="A215" s="368"/>
      <c r="B215" s="431" t="s">
        <v>42</v>
      </c>
      <c r="C215" s="404" t="s">
        <v>43</v>
      </c>
      <c r="D215" s="432">
        <f>(2.41+2.02)/100</f>
        <v>4.4299999999999999E-2</v>
      </c>
      <c r="E215" s="434">
        <f>D215*E214</f>
        <v>1.800352</v>
      </c>
      <c r="F215" s="369"/>
      <c r="G215" s="369"/>
      <c r="H215" s="369">
        <v>6</v>
      </c>
      <c r="I215" s="369">
        <f>H215*E215</f>
        <v>10.802111999999999</v>
      </c>
      <c r="J215" s="369"/>
      <c r="K215" s="369"/>
      <c r="L215" s="369">
        <f>K215+I215+G215</f>
        <v>10.802111999999999</v>
      </c>
    </row>
    <row r="216" spans="1:18" s="409" customFormat="1" ht="24.75" customHeight="1">
      <c r="A216" s="407"/>
      <c r="B216" s="431" t="s">
        <v>49</v>
      </c>
      <c r="C216" s="432" t="s">
        <v>2</v>
      </c>
      <c r="D216" s="435">
        <f>(0.22+0.22)/100</f>
        <v>4.4000000000000003E-3</v>
      </c>
      <c r="E216" s="442">
        <f>D216*E214</f>
        <v>0.178816</v>
      </c>
      <c r="F216" s="393"/>
      <c r="G216" s="393"/>
      <c r="H216" s="393"/>
      <c r="I216" s="395"/>
      <c r="J216" s="393">
        <v>4</v>
      </c>
      <c r="K216" s="395">
        <f>J216*E216</f>
        <v>0.71526400000000001</v>
      </c>
      <c r="L216" s="395">
        <f>K216+I216+G216</f>
        <v>0.71526400000000001</v>
      </c>
    </row>
    <row r="217" spans="1:18" s="398" customFormat="1" ht="24.75" customHeight="1">
      <c r="A217" s="368"/>
      <c r="B217" s="445" t="s">
        <v>136</v>
      </c>
      <c r="C217" s="432" t="s">
        <v>57</v>
      </c>
      <c r="D217" s="435">
        <v>0.25</v>
      </c>
      <c r="E217" s="436">
        <f>D217*E214</f>
        <v>10.16</v>
      </c>
      <c r="F217" s="369">
        <v>22.5</v>
      </c>
      <c r="G217" s="369">
        <f>F217*E217</f>
        <v>228.6</v>
      </c>
      <c r="H217" s="369"/>
      <c r="I217" s="369"/>
      <c r="J217" s="369"/>
      <c r="K217" s="369"/>
      <c r="L217" s="369">
        <f>K217+I217+G217</f>
        <v>228.6</v>
      </c>
    </row>
    <row r="218" spans="1:18" s="409" customFormat="1" ht="24.75" customHeight="1">
      <c r="A218" s="407"/>
      <c r="B218" s="431" t="s">
        <v>51</v>
      </c>
      <c r="C218" s="432" t="s">
        <v>2</v>
      </c>
      <c r="D218" s="435">
        <v>1.6000000000000001E-3</v>
      </c>
      <c r="E218" s="442">
        <f>D218*E214</f>
        <v>6.5023999999999998E-2</v>
      </c>
      <c r="F218" s="393">
        <v>4</v>
      </c>
      <c r="G218" s="393">
        <f>F218*E218</f>
        <v>0.26009599999999999</v>
      </c>
      <c r="H218" s="393"/>
      <c r="I218" s="395"/>
      <c r="J218" s="393"/>
      <c r="K218" s="395"/>
      <c r="L218" s="395">
        <f>K218+I218+G218</f>
        <v>0.26009599999999999</v>
      </c>
    </row>
    <row r="219" spans="1:18" s="1" customFormat="1">
      <c r="A219" s="371">
        <v>42</v>
      </c>
      <c r="B219" s="373" t="s">
        <v>130</v>
      </c>
      <c r="C219" s="372" t="s">
        <v>131</v>
      </c>
      <c r="D219" s="374"/>
      <c r="E219" s="372">
        <v>9</v>
      </c>
      <c r="F219" s="374"/>
      <c r="G219" s="375"/>
      <c r="H219" s="375"/>
      <c r="I219" s="376"/>
      <c r="J219" s="376"/>
      <c r="K219" s="376"/>
      <c r="L219" s="346"/>
      <c r="M219" s="367"/>
      <c r="N219" s="367"/>
      <c r="O219" s="367"/>
      <c r="P219" s="367"/>
      <c r="Q219" s="367"/>
      <c r="R219" s="367"/>
    </row>
    <row r="220" spans="1:18" s="1" customFormat="1">
      <c r="A220" s="263"/>
      <c r="B220" s="98" t="s">
        <v>42</v>
      </c>
      <c r="C220" s="122" t="s">
        <v>43</v>
      </c>
      <c r="D220" s="237">
        <v>0.74</v>
      </c>
      <c r="E220" s="237">
        <f>D220*E219</f>
        <v>6.66</v>
      </c>
      <c r="F220" s="237"/>
      <c r="G220" s="237"/>
      <c r="H220" s="238">
        <v>6</v>
      </c>
      <c r="I220" s="238">
        <f>H220*E220</f>
        <v>39.96</v>
      </c>
      <c r="J220" s="237"/>
      <c r="K220" s="237"/>
      <c r="L220" s="238">
        <f t="shared" ref="L220:L225" si="20">K220+I220+G220</f>
        <v>39.96</v>
      </c>
      <c r="M220" s="367"/>
      <c r="N220" s="367"/>
      <c r="O220" s="367"/>
      <c r="P220" s="367"/>
      <c r="Q220" s="367"/>
      <c r="R220" s="367"/>
    </row>
    <row r="221" spans="1:18" s="1" customFormat="1">
      <c r="A221" s="263"/>
      <c r="B221" s="98" t="s">
        <v>62</v>
      </c>
      <c r="C221" s="148" t="s">
        <v>66</v>
      </c>
      <c r="D221" s="237">
        <v>7.1000000000000004E-3</v>
      </c>
      <c r="E221" s="238">
        <f>D221*E219</f>
        <v>6.3899999999999998E-2</v>
      </c>
      <c r="F221" s="237"/>
      <c r="G221" s="237"/>
      <c r="H221" s="237"/>
      <c r="I221" s="237"/>
      <c r="J221" s="238">
        <v>4</v>
      </c>
      <c r="K221" s="238">
        <f>J221*E221</f>
        <v>0.25559999999999999</v>
      </c>
      <c r="L221" s="238">
        <f t="shared" si="20"/>
        <v>0.25559999999999999</v>
      </c>
      <c r="M221" s="367"/>
      <c r="N221" s="367"/>
      <c r="O221" s="367"/>
      <c r="P221" s="367"/>
      <c r="Q221" s="367"/>
      <c r="R221" s="367"/>
    </row>
    <row r="222" spans="1:18" s="1" customFormat="1">
      <c r="A222" s="262"/>
      <c r="B222" s="264" t="s">
        <v>132</v>
      </c>
      <c r="C222" s="148" t="s">
        <v>65</v>
      </c>
      <c r="D222" s="304">
        <v>1</v>
      </c>
      <c r="E222" s="148">
        <f>D222*E219</f>
        <v>9</v>
      </c>
      <c r="F222" s="941">
        <v>14</v>
      </c>
      <c r="G222" s="261">
        <f>E222*F222</f>
        <v>126</v>
      </c>
      <c r="H222" s="261"/>
      <c r="I222" s="304"/>
      <c r="J222" s="304"/>
      <c r="K222" s="304"/>
      <c r="L222" s="238">
        <f t="shared" si="20"/>
        <v>126</v>
      </c>
      <c r="M222" s="367"/>
      <c r="N222" s="367"/>
      <c r="O222" s="367"/>
      <c r="P222" s="367"/>
      <c r="Q222" s="367"/>
      <c r="R222" s="367"/>
    </row>
    <row r="223" spans="1:18" s="1" customFormat="1" ht="17.399999999999999">
      <c r="A223" s="262"/>
      <c r="B223" s="308" t="s">
        <v>53</v>
      </c>
      <c r="C223" s="237" t="s">
        <v>127</v>
      </c>
      <c r="D223" s="148">
        <v>3.9E-2</v>
      </c>
      <c r="E223" s="261">
        <f>D223*E219</f>
        <v>0.35099999999999998</v>
      </c>
      <c r="F223" s="101">
        <f>136/1.18</f>
        <v>115.2542372881356</v>
      </c>
      <c r="G223" s="261">
        <f>E223*F223</f>
        <v>40.454237288135594</v>
      </c>
      <c r="H223" s="261"/>
      <c r="I223" s="304"/>
      <c r="J223" s="304"/>
      <c r="K223" s="304"/>
      <c r="L223" s="238">
        <f t="shared" si="20"/>
        <v>40.454237288135594</v>
      </c>
      <c r="M223" s="367"/>
      <c r="N223" s="367"/>
      <c r="O223" s="367"/>
      <c r="P223" s="367"/>
      <c r="Q223" s="367"/>
      <c r="R223" s="367"/>
    </row>
    <row r="224" spans="1:18" s="1" customFormat="1" ht="17.399999999999999">
      <c r="A224" s="262"/>
      <c r="B224" s="308" t="s">
        <v>78</v>
      </c>
      <c r="C224" s="237" t="s">
        <v>127</v>
      </c>
      <c r="D224" s="148">
        <v>5.9999999999999995E-4</v>
      </c>
      <c r="E224" s="261">
        <f>D224*E219</f>
        <v>5.3999999999999994E-3</v>
      </c>
      <c r="F224" s="461">
        <v>131.69</v>
      </c>
      <c r="G224" s="261">
        <f>E224*F224</f>
        <v>0.71112599999999992</v>
      </c>
      <c r="H224" s="261"/>
      <c r="I224" s="304"/>
      <c r="J224" s="304"/>
      <c r="K224" s="304"/>
      <c r="L224" s="238">
        <f t="shared" si="20"/>
        <v>0.71112599999999992</v>
      </c>
      <c r="M224" s="367"/>
      <c r="N224" s="367"/>
      <c r="O224" s="367"/>
      <c r="P224" s="367"/>
      <c r="Q224" s="367"/>
      <c r="R224" s="367"/>
    </row>
    <row r="225" spans="1:18" s="1" customFormat="1">
      <c r="A225" s="262"/>
      <c r="B225" s="98" t="s">
        <v>51</v>
      </c>
      <c r="C225" s="122" t="s">
        <v>2</v>
      </c>
      <c r="D225" s="148">
        <v>9.6000000000000002E-2</v>
      </c>
      <c r="E225" s="261">
        <f>D225*E219</f>
        <v>0.86399999999999999</v>
      </c>
      <c r="F225" s="261">
        <v>4</v>
      </c>
      <c r="G225" s="261">
        <f>F225*E225</f>
        <v>3.456</v>
      </c>
      <c r="H225" s="148"/>
      <c r="I225" s="304"/>
      <c r="J225" s="304"/>
      <c r="K225" s="304"/>
      <c r="L225" s="238">
        <f t="shared" si="20"/>
        <v>3.456</v>
      </c>
      <c r="M225" s="367"/>
      <c r="N225" s="367"/>
      <c r="O225" s="367"/>
      <c r="P225" s="367"/>
      <c r="Q225" s="367"/>
      <c r="R225" s="367"/>
    </row>
    <row r="226" spans="1:18" s="396" customFormat="1" ht="17.399999999999999">
      <c r="A226" s="379">
        <v>43</v>
      </c>
      <c r="B226" s="500" t="s">
        <v>310</v>
      </c>
      <c r="C226" s="498" t="s">
        <v>148</v>
      </c>
      <c r="D226" s="419"/>
      <c r="E226" s="517">
        <f>0.9*0.22</f>
        <v>0.19800000000000001</v>
      </c>
      <c r="F226" s="379"/>
      <c r="G226" s="401"/>
      <c r="H226" s="379"/>
      <c r="I226" s="401"/>
      <c r="J226" s="379"/>
      <c r="K226" s="379"/>
      <c r="L226" s="401"/>
    </row>
    <row r="227" spans="1:18" s="409" customFormat="1">
      <c r="A227" s="368"/>
      <c r="B227" s="431" t="s">
        <v>42</v>
      </c>
      <c r="C227" s="432" t="s">
        <v>43</v>
      </c>
      <c r="D227" s="432">
        <v>0.13900000000000001</v>
      </c>
      <c r="E227" s="433">
        <f>D227*E226</f>
        <v>2.7522000000000005E-2</v>
      </c>
      <c r="F227" s="368"/>
      <c r="G227" s="369"/>
      <c r="H227" s="368">
        <v>7.8</v>
      </c>
      <c r="I227" s="369">
        <f>H227*E227</f>
        <v>0.21467160000000005</v>
      </c>
      <c r="J227" s="368"/>
      <c r="K227" s="369"/>
      <c r="L227" s="369">
        <f t="shared" ref="L227:L230" si="21">K227+I227+G227</f>
        <v>0.21467160000000005</v>
      </c>
    </row>
    <row r="228" spans="1:18" s="398" customFormat="1">
      <c r="A228" s="430"/>
      <c r="B228" s="431" t="s">
        <v>49</v>
      </c>
      <c r="C228" s="432" t="s">
        <v>2</v>
      </c>
      <c r="D228" s="494">
        <v>7.0000000000000001E-3</v>
      </c>
      <c r="E228" s="442">
        <f>D228*E226</f>
        <v>1.3860000000000001E-3</v>
      </c>
      <c r="F228" s="369"/>
      <c r="G228" s="369"/>
      <c r="H228" s="369"/>
      <c r="I228" s="369"/>
      <c r="J228" s="369">
        <v>4</v>
      </c>
      <c r="K228" s="369">
        <f>E228*J228</f>
        <v>5.5440000000000003E-3</v>
      </c>
      <c r="L228" s="369">
        <f t="shared" si="21"/>
        <v>5.5440000000000003E-3</v>
      </c>
    </row>
    <row r="229" spans="1:18" s="409" customFormat="1">
      <c r="A229" s="368"/>
      <c r="B229" s="462" t="s">
        <v>307</v>
      </c>
      <c r="C229" s="368" t="s">
        <v>57</v>
      </c>
      <c r="D229" s="516">
        <v>0.59</v>
      </c>
      <c r="E229" s="1116">
        <f>D229*E226</f>
        <v>0.11681999999999999</v>
      </c>
      <c r="F229" s="369">
        <v>10.92</v>
      </c>
      <c r="G229" s="369">
        <f>F229*E229</f>
        <v>1.2756744</v>
      </c>
      <c r="H229" s="369"/>
      <c r="I229" s="369"/>
      <c r="J229" s="369"/>
      <c r="K229" s="369"/>
      <c r="L229" s="369">
        <f t="shared" si="21"/>
        <v>1.2756744</v>
      </c>
    </row>
    <row r="230" spans="1:18" s="409" customFormat="1">
      <c r="A230" s="730"/>
      <c r="B230" s="809" t="s">
        <v>311</v>
      </c>
      <c r="C230" s="730" t="s">
        <v>57</v>
      </c>
      <c r="D230" s="713">
        <v>0.12</v>
      </c>
      <c r="E230" s="1142">
        <f>D230*E226</f>
        <v>2.376E-2</v>
      </c>
      <c r="F230" s="707">
        <v>3</v>
      </c>
      <c r="G230" s="369">
        <f>F230*E230</f>
        <v>7.1279999999999996E-2</v>
      </c>
      <c r="H230" s="369"/>
      <c r="I230" s="369"/>
      <c r="J230" s="369"/>
      <c r="K230" s="369"/>
      <c r="L230" s="369">
        <f t="shared" si="21"/>
        <v>7.1279999999999996E-2</v>
      </c>
    </row>
    <row r="231" spans="1:18" s="409" customFormat="1">
      <c r="A231" s="368"/>
      <c r="B231" s="462" t="s">
        <v>81</v>
      </c>
      <c r="C231" s="368" t="s">
        <v>57</v>
      </c>
      <c r="D231" s="516">
        <v>0.15</v>
      </c>
      <c r="E231" s="1116">
        <f>D231*E226</f>
        <v>2.9700000000000001E-2</v>
      </c>
      <c r="F231" s="369">
        <v>4.5</v>
      </c>
      <c r="G231" s="369">
        <f>F231*E231</f>
        <v>0.13364999999999999</v>
      </c>
      <c r="H231" s="369"/>
      <c r="I231" s="369"/>
      <c r="J231" s="369"/>
      <c r="K231" s="369"/>
      <c r="L231" s="369">
        <f>K231+I231+G231</f>
        <v>0.13364999999999999</v>
      </c>
    </row>
    <row r="232" spans="1:18" s="396" customFormat="1">
      <c r="A232" s="368"/>
      <c r="B232" s="462" t="s">
        <v>51</v>
      </c>
      <c r="C232" s="432" t="s">
        <v>2</v>
      </c>
      <c r="D232" s="516">
        <v>3.3999999999999998E-3</v>
      </c>
      <c r="E232" s="1117">
        <f>D232*E226</f>
        <v>6.7319999999999999E-4</v>
      </c>
      <c r="F232" s="369">
        <v>4</v>
      </c>
      <c r="G232" s="369">
        <f>F232*E232</f>
        <v>2.6928E-3</v>
      </c>
      <c r="H232" s="369"/>
      <c r="I232" s="369"/>
      <c r="J232" s="369"/>
      <c r="K232" s="369"/>
      <c r="L232" s="369">
        <f t="shared" ref="L232" si="22">K232+I232+G232</f>
        <v>2.6928E-3</v>
      </c>
    </row>
    <row r="233" spans="1:18" s="60" customFormat="1">
      <c r="A233" s="166"/>
      <c r="B233" s="525"/>
      <c r="C233" s="1010"/>
      <c r="D233" s="220"/>
      <c r="E233" s="101"/>
      <c r="F233" s="125"/>
      <c r="G233" s="70"/>
      <c r="H233" s="125"/>
      <c r="I233" s="70"/>
      <c r="J233" s="125"/>
      <c r="K233" s="70"/>
      <c r="L233" s="70"/>
      <c r="N233" s="284"/>
    </row>
    <row r="234" spans="1:18" s="286" customFormat="1">
      <c r="A234" s="116"/>
      <c r="B234" s="370" t="s">
        <v>192</v>
      </c>
      <c r="C234" s="122"/>
      <c r="D234" s="703"/>
      <c r="E234" s="125"/>
      <c r="F234" s="125"/>
      <c r="G234" s="70"/>
      <c r="H234" s="125"/>
      <c r="I234" s="136"/>
      <c r="J234" s="135"/>
      <c r="K234" s="127"/>
      <c r="L234" s="127"/>
      <c r="N234" s="284"/>
    </row>
    <row r="235" spans="1:18" s="409" customFormat="1" ht="17.399999999999999">
      <c r="A235" s="537">
        <v>44</v>
      </c>
      <c r="B235" s="530" t="s">
        <v>201</v>
      </c>
      <c r="C235" s="321" t="s">
        <v>143</v>
      </c>
      <c r="D235" s="538"/>
      <c r="E235" s="920">
        <f>E51*0.07</f>
        <v>3.1206</v>
      </c>
      <c r="F235" s="422"/>
      <c r="G235" s="422"/>
      <c r="H235" s="422"/>
      <c r="I235" s="423"/>
      <c r="J235" s="422"/>
      <c r="K235" s="423"/>
      <c r="L235" s="423"/>
    </row>
    <row r="236" spans="1:18" s="197" customFormat="1">
      <c r="A236" s="1010"/>
      <c r="B236" s="121" t="s">
        <v>42</v>
      </c>
      <c r="C236" s="808" t="s">
        <v>43</v>
      </c>
      <c r="D236" s="905">
        <v>2.06</v>
      </c>
      <c r="E236" s="906">
        <f>D236*E235</f>
        <v>6.4284360000000005</v>
      </c>
      <c r="F236" s="881"/>
      <c r="G236" s="898"/>
      <c r="H236" s="881">
        <v>6</v>
      </c>
      <c r="I236" s="707">
        <f>H236*E236</f>
        <v>38.570616000000001</v>
      </c>
      <c r="J236" s="881"/>
      <c r="K236" s="881"/>
      <c r="L236" s="707">
        <f>K236+I236+G236</f>
        <v>38.570616000000001</v>
      </c>
      <c r="N236" s="284"/>
    </row>
    <row r="237" spans="1:18" s="4" customFormat="1" ht="29.25" customHeight="1">
      <c r="A237" s="529">
        <v>45</v>
      </c>
      <c r="B237" s="529" t="s">
        <v>291</v>
      </c>
      <c r="C237" s="529" t="s">
        <v>143</v>
      </c>
      <c r="D237" s="541"/>
      <c r="E237" s="532">
        <f>33.35*0.2</f>
        <v>6.6700000000000008</v>
      </c>
      <c r="F237" s="532"/>
      <c r="G237" s="532"/>
      <c r="H237" s="532"/>
      <c r="I237" s="532"/>
      <c r="J237" s="532"/>
      <c r="K237" s="532"/>
      <c r="L237" s="532"/>
    </row>
    <row r="238" spans="1:18" s="398" customFormat="1" ht="13.5" customHeight="1">
      <c r="A238" s="542"/>
      <c r="B238" s="543" t="s">
        <v>42</v>
      </c>
      <c r="C238" s="534" t="s">
        <v>43</v>
      </c>
      <c r="D238" s="528">
        <v>0.89</v>
      </c>
      <c r="E238" s="544">
        <f>D238*E237</f>
        <v>5.936300000000001</v>
      </c>
      <c r="F238" s="527"/>
      <c r="G238" s="527"/>
      <c r="H238" s="527">
        <v>7.8</v>
      </c>
      <c r="I238" s="527">
        <f>H238*E238</f>
        <v>46.303140000000006</v>
      </c>
      <c r="J238" s="527"/>
      <c r="K238" s="527"/>
      <c r="L238" s="527">
        <f>K238+I238+G238</f>
        <v>46.303140000000006</v>
      </c>
    </row>
    <row r="239" spans="1:18" s="398" customFormat="1" ht="13.5" customHeight="1">
      <c r="A239" s="542"/>
      <c r="B239" s="543" t="s">
        <v>49</v>
      </c>
      <c r="C239" s="534" t="s">
        <v>2</v>
      </c>
      <c r="D239" s="545">
        <v>0.37</v>
      </c>
      <c r="E239" s="546">
        <f>D239*E237</f>
        <v>2.4679000000000002</v>
      </c>
      <c r="F239" s="527"/>
      <c r="G239" s="527"/>
      <c r="H239" s="527"/>
      <c r="I239" s="527"/>
      <c r="J239" s="527">
        <v>4</v>
      </c>
      <c r="K239" s="527">
        <f>E239*J239</f>
        <v>9.8716000000000008</v>
      </c>
      <c r="L239" s="527">
        <f>K239+I239+G239</f>
        <v>9.8716000000000008</v>
      </c>
    </row>
    <row r="240" spans="1:18" s="254" customFormat="1" ht="18" customHeight="1">
      <c r="A240" s="526"/>
      <c r="B240" s="547" t="s">
        <v>50</v>
      </c>
      <c r="C240" s="534" t="s">
        <v>139</v>
      </c>
      <c r="D240" s="536">
        <v>1.1499999999999999</v>
      </c>
      <c r="E240" s="527">
        <f>D240*E237</f>
        <v>7.6705000000000005</v>
      </c>
      <c r="F240" s="527">
        <v>13</v>
      </c>
      <c r="G240" s="527">
        <f>E240*F240</f>
        <v>99.716500000000011</v>
      </c>
      <c r="H240" s="535"/>
      <c r="I240" s="535"/>
      <c r="J240" s="535"/>
      <c r="K240" s="535"/>
      <c r="L240" s="527">
        <f>K240+I240+G240</f>
        <v>99.716500000000011</v>
      </c>
    </row>
    <row r="241" spans="1:16" s="247" customFormat="1" ht="18" customHeight="1">
      <c r="A241" s="526"/>
      <c r="B241" s="543" t="s">
        <v>51</v>
      </c>
      <c r="C241" s="534" t="s">
        <v>2</v>
      </c>
      <c r="D241" s="548">
        <v>0.02</v>
      </c>
      <c r="E241" s="546">
        <f>D241*E237</f>
        <v>0.13340000000000002</v>
      </c>
      <c r="F241" s="527">
        <v>4</v>
      </c>
      <c r="G241" s="527">
        <f>E241*F241</f>
        <v>0.53360000000000007</v>
      </c>
      <c r="H241" s="527"/>
      <c r="I241" s="527"/>
      <c r="J241" s="527"/>
      <c r="K241" s="527"/>
      <c r="L241" s="527">
        <f>K241+I241+G241</f>
        <v>0.53360000000000007</v>
      </c>
    </row>
    <row r="242" spans="1:16" s="289" customFormat="1" ht="27.6">
      <c r="A242" s="886">
        <v>46</v>
      </c>
      <c r="B242" s="887" t="s">
        <v>319</v>
      </c>
      <c r="C242" s="727" t="s">
        <v>146</v>
      </c>
      <c r="D242" s="903"/>
      <c r="E242" s="904">
        <v>33.340000000000003</v>
      </c>
      <c r="F242" s="904"/>
      <c r="G242" s="889"/>
      <c r="H242" s="904"/>
      <c r="I242" s="888"/>
      <c r="J242" s="904"/>
      <c r="K242" s="888"/>
      <c r="L242" s="888"/>
      <c r="N242" s="284"/>
    </row>
    <row r="243" spans="1:16" s="287" customFormat="1">
      <c r="A243" s="770"/>
      <c r="B243" s="772" t="s">
        <v>52</v>
      </c>
      <c r="C243" s="730" t="s">
        <v>43</v>
      </c>
      <c r="D243" s="742">
        <v>0.312</v>
      </c>
      <c r="E243" s="875">
        <f>D243*E242</f>
        <v>10.402080000000002</v>
      </c>
      <c r="F243" s="875"/>
      <c r="G243" s="751"/>
      <c r="H243" s="875">
        <v>7.8</v>
      </c>
      <c r="I243" s="751">
        <f>H243*E243</f>
        <v>81.136224000000013</v>
      </c>
      <c r="J243" s="875"/>
      <c r="K243" s="751"/>
      <c r="L243" s="751">
        <f>K243+I243+G243</f>
        <v>81.136224000000013</v>
      </c>
      <c r="N243" s="284"/>
    </row>
    <row r="244" spans="1:16" s="288" customFormat="1">
      <c r="A244" s="882"/>
      <c r="B244" s="890" t="s">
        <v>49</v>
      </c>
      <c r="C244" s="730" t="s">
        <v>2</v>
      </c>
      <c r="D244" s="884">
        <v>1.38E-2</v>
      </c>
      <c r="E244" s="877">
        <f>D244*E242</f>
        <v>0.46009200000000006</v>
      </c>
      <c r="F244" s="877"/>
      <c r="G244" s="883"/>
      <c r="H244" s="877"/>
      <c r="I244" s="883"/>
      <c r="J244" s="877">
        <v>4</v>
      </c>
      <c r="K244" s="883">
        <f>J244*E244</f>
        <v>1.8403680000000002</v>
      </c>
      <c r="L244" s="883">
        <f>K244+I244+G244</f>
        <v>1.8403680000000002</v>
      </c>
      <c r="N244" s="284"/>
    </row>
    <row r="245" spans="1:16" s="288" customFormat="1" ht="30">
      <c r="A245" s="882"/>
      <c r="B245" s="772" t="s">
        <v>288</v>
      </c>
      <c r="C245" s="730" t="s">
        <v>138</v>
      </c>
      <c r="D245" s="902">
        <v>1.1200000000000001</v>
      </c>
      <c r="E245" s="877">
        <f>D245*E242</f>
        <v>37.340800000000009</v>
      </c>
      <c r="F245" s="877">
        <f>2/1.5/1.18</f>
        <v>1.1299435028248588</v>
      </c>
      <c r="G245" s="885">
        <f>F245*E245</f>
        <v>42.192994350282497</v>
      </c>
      <c r="H245" s="877"/>
      <c r="I245" s="883"/>
      <c r="J245" s="877"/>
      <c r="K245" s="883"/>
      <c r="L245" s="883">
        <f>K245+I245+G245</f>
        <v>42.192994350282497</v>
      </c>
      <c r="N245" s="284"/>
    </row>
    <row r="246" spans="1:16" s="288" customFormat="1">
      <c r="A246" s="882"/>
      <c r="B246" s="897" t="s">
        <v>51</v>
      </c>
      <c r="C246" s="730" t="s">
        <v>2</v>
      </c>
      <c r="D246" s="884">
        <v>1.9E-3</v>
      </c>
      <c r="E246" s="877">
        <f>D246*E242</f>
        <v>6.3346E-2</v>
      </c>
      <c r="F246" s="877">
        <v>4</v>
      </c>
      <c r="G246" s="885">
        <f>F246*E246</f>
        <v>0.253384</v>
      </c>
      <c r="H246" s="877"/>
      <c r="I246" s="883"/>
      <c r="J246" s="877"/>
      <c r="K246" s="883"/>
      <c r="L246" s="883">
        <f>K246+I246+G246</f>
        <v>0.253384</v>
      </c>
      <c r="N246" s="284"/>
    </row>
    <row r="247" spans="1:16" s="551" customFormat="1" ht="44.4" customHeight="1">
      <c r="A247" s="552">
        <v>47</v>
      </c>
      <c r="B247" s="553" t="s">
        <v>202</v>
      </c>
      <c r="C247" s="529" t="s">
        <v>143</v>
      </c>
      <c r="D247" s="554"/>
      <c r="E247" s="554">
        <v>6.5</v>
      </c>
      <c r="F247" s="555"/>
      <c r="G247" s="555"/>
      <c r="H247" s="555"/>
      <c r="I247" s="555"/>
      <c r="J247" s="555"/>
      <c r="K247" s="555"/>
      <c r="L247" s="555"/>
      <c r="M247" s="96"/>
      <c r="N247" s="96"/>
      <c r="O247" s="96"/>
      <c r="P247" s="556"/>
    </row>
    <row r="248" spans="1:16" s="551" customFormat="1" ht="24" customHeight="1">
      <c r="A248" s="557"/>
      <c r="B248" s="558" t="s">
        <v>52</v>
      </c>
      <c r="C248" s="526" t="s">
        <v>139</v>
      </c>
      <c r="D248" s="549">
        <v>1</v>
      </c>
      <c r="E248" s="1138">
        <f>D248*E247</f>
        <v>6.5</v>
      </c>
      <c r="F248" s="511"/>
      <c r="G248" s="511"/>
      <c r="H248" s="561">
        <v>125</v>
      </c>
      <c r="I248" s="562">
        <f>H248*E248</f>
        <v>812.5</v>
      </c>
      <c r="J248" s="562"/>
      <c r="K248" s="562"/>
      <c r="L248" s="1034">
        <f t="shared" ref="L248:L257" si="23">K248+I248+G248</f>
        <v>812.5</v>
      </c>
      <c r="M248" s="556"/>
      <c r="N248" s="556"/>
      <c r="O248" s="556"/>
      <c r="P248" s="556"/>
    </row>
    <row r="249" spans="1:16" s="551" customFormat="1" ht="24" customHeight="1">
      <c r="A249" s="563"/>
      <c r="B249" s="564" t="s">
        <v>49</v>
      </c>
      <c r="C249" s="526" t="s">
        <v>2</v>
      </c>
      <c r="D249" s="511">
        <v>0.77</v>
      </c>
      <c r="E249" s="1143">
        <f>D249*E247</f>
        <v>5.0049999999999999</v>
      </c>
      <c r="F249" s="511"/>
      <c r="G249" s="511"/>
      <c r="H249" s="561"/>
      <c r="I249" s="561"/>
      <c r="J249" s="561">
        <v>4</v>
      </c>
      <c r="K249" s="565">
        <f>J249*E249</f>
        <v>20.02</v>
      </c>
      <c r="L249" s="512">
        <f t="shared" si="23"/>
        <v>20.02</v>
      </c>
      <c r="M249" s="556"/>
      <c r="N249" s="556"/>
      <c r="O249" s="556"/>
      <c r="P249" s="556"/>
    </row>
    <row r="250" spans="1:16" s="551" customFormat="1" ht="24" customHeight="1">
      <c r="A250" s="563"/>
      <c r="B250" s="558" t="s">
        <v>147</v>
      </c>
      <c r="C250" s="526" t="s">
        <v>139</v>
      </c>
      <c r="D250" s="933">
        <v>1.0149999999999999</v>
      </c>
      <c r="E250" s="549">
        <f>D250*E247</f>
        <v>6.5974999999999993</v>
      </c>
      <c r="F250" s="393">
        <f>148/1.18</f>
        <v>125.42372881355932</v>
      </c>
      <c r="G250" s="550">
        <f t="shared" ref="G250:G257" si="24">F250*E250</f>
        <v>827.48305084745755</v>
      </c>
      <c r="H250" s="565"/>
      <c r="I250" s="565"/>
      <c r="J250" s="565"/>
      <c r="K250" s="565"/>
      <c r="L250" s="512">
        <f t="shared" si="23"/>
        <v>827.48305084745755</v>
      </c>
      <c r="M250" s="556"/>
      <c r="N250" s="556"/>
      <c r="O250" s="556"/>
      <c r="P250" s="556"/>
    </row>
    <row r="251" spans="1:16" s="551" customFormat="1" ht="24" customHeight="1">
      <c r="A251" s="563"/>
      <c r="B251" s="566" t="s">
        <v>203</v>
      </c>
      <c r="C251" s="526" t="s">
        <v>47</v>
      </c>
      <c r="D251" s="511"/>
      <c r="E251" s="929">
        <f>11*1.01/1000</f>
        <v>1.111E-2</v>
      </c>
      <c r="F251" s="843">
        <v>2595</v>
      </c>
      <c r="G251" s="930">
        <f t="shared" si="24"/>
        <v>28.830449999999999</v>
      </c>
      <c r="H251" s="565"/>
      <c r="I251" s="565"/>
      <c r="J251" s="565"/>
      <c r="K251" s="565"/>
      <c r="L251" s="512">
        <f t="shared" si="23"/>
        <v>28.830449999999999</v>
      </c>
      <c r="M251" s="567"/>
      <c r="N251" s="567"/>
      <c r="O251" s="567"/>
      <c r="P251" s="556"/>
    </row>
    <row r="252" spans="1:16" s="551" customFormat="1" ht="24" customHeight="1">
      <c r="A252" s="563"/>
      <c r="B252" s="568" t="s">
        <v>204</v>
      </c>
      <c r="C252" s="1012" t="s">
        <v>47</v>
      </c>
      <c r="D252" s="511"/>
      <c r="E252" s="1144">
        <f>338*1.01/1000</f>
        <v>0.34138000000000002</v>
      </c>
      <c r="F252" s="877">
        <v>2376</v>
      </c>
      <c r="G252" s="512">
        <f t="shared" si="24"/>
        <v>811.11887999999999</v>
      </c>
      <c r="H252" s="565"/>
      <c r="I252" s="565"/>
      <c r="J252" s="565"/>
      <c r="K252" s="565"/>
      <c r="L252" s="512">
        <f t="shared" si="23"/>
        <v>811.11887999999999</v>
      </c>
      <c r="M252" s="567"/>
      <c r="N252" s="567"/>
      <c r="O252" s="567"/>
      <c r="P252" s="556"/>
    </row>
    <row r="253" spans="1:16" ht="13.5" customHeight="1">
      <c r="A253" s="770"/>
      <c r="B253" s="772" t="s">
        <v>283</v>
      </c>
      <c r="C253" s="730" t="s">
        <v>47</v>
      </c>
      <c r="D253" s="875"/>
      <c r="E253" s="876">
        <f>605/1000*1.01</f>
        <v>0.61104999999999998</v>
      </c>
      <c r="F253" s="877">
        <v>2339</v>
      </c>
      <c r="G253" s="707">
        <f t="shared" si="24"/>
        <v>1429.24595</v>
      </c>
      <c r="H253" s="878"/>
      <c r="I253" s="879"/>
      <c r="J253" s="880"/>
      <c r="K253" s="880"/>
      <c r="L253" s="707">
        <f t="shared" si="23"/>
        <v>1429.24595</v>
      </c>
    </row>
    <row r="254" spans="1:16" ht="13.5" customHeight="1">
      <c r="A254" s="770"/>
      <c r="B254" s="772" t="s">
        <v>287</v>
      </c>
      <c r="C254" s="730" t="s">
        <v>47</v>
      </c>
      <c r="D254" s="875"/>
      <c r="E254" s="876">
        <f>66/1000*1.01</f>
        <v>6.6659999999999997E-2</v>
      </c>
      <c r="F254" s="877">
        <v>2339</v>
      </c>
      <c r="G254" s="707">
        <f t="shared" si="24"/>
        <v>155.91773999999998</v>
      </c>
      <c r="H254" s="878"/>
      <c r="I254" s="879"/>
      <c r="J254" s="880"/>
      <c r="K254" s="880"/>
      <c r="L254" s="707">
        <f t="shared" si="23"/>
        <v>155.91773999999998</v>
      </c>
    </row>
    <row r="255" spans="1:16" s="551" customFormat="1" ht="29.4" customHeight="1">
      <c r="A255" s="570"/>
      <c r="B255" s="568" t="s">
        <v>292</v>
      </c>
      <c r="C255" s="1012" t="s">
        <v>138</v>
      </c>
      <c r="D255" s="511">
        <v>7.5399999999999995E-2</v>
      </c>
      <c r="E255" s="1144">
        <f>D255*E247</f>
        <v>0.49009999999999998</v>
      </c>
      <c r="F255" s="934">
        <v>25.73</v>
      </c>
      <c r="G255" s="610">
        <f t="shared" si="24"/>
        <v>12.610272999999999</v>
      </c>
      <c r="H255" s="571"/>
      <c r="I255" s="572"/>
      <c r="J255" s="573"/>
      <c r="K255" s="573"/>
      <c r="L255" s="610">
        <f t="shared" si="23"/>
        <v>12.610272999999999</v>
      </c>
      <c r="M255" s="556"/>
      <c r="N255" s="556"/>
      <c r="O255" s="556"/>
      <c r="P255" s="556"/>
    </row>
    <row r="256" spans="1:16" s="551" customFormat="1" ht="24" customHeight="1">
      <c r="A256" s="574"/>
      <c r="B256" s="568" t="s">
        <v>55</v>
      </c>
      <c r="C256" s="1012" t="s">
        <v>139</v>
      </c>
      <c r="D256" s="935">
        <v>8.0000000000000004E-4</v>
      </c>
      <c r="E256" s="1145">
        <f>D256*E247</f>
        <v>5.2000000000000006E-3</v>
      </c>
      <c r="F256" s="596">
        <v>635.6</v>
      </c>
      <c r="G256" s="936">
        <f t="shared" si="24"/>
        <v>3.3051200000000005</v>
      </c>
      <c r="H256" s="565"/>
      <c r="I256" s="565"/>
      <c r="J256" s="565"/>
      <c r="K256" s="565"/>
      <c r="L256" s="512">
        <f t="shared" si="23"/>
        <v>3.3051200000000005</v>
      </c>
      <c r="M256" s="556"/>
      <c r="N256" s="556"/>
      <c r="O256" s="556"/>
      <c r="P256" s="556"/>
    </row>
    <row r="257" spans="1:16" s="551" customFormat="1" ht="24" customHeight="1">
      <c r="A257" s="575"/>
      <c r="B257" s="576" t="s">
        <v>51</v>
      </c>
      <c r="C257" s="937" t="s">
        <v>2</v>
      </c>
      <c r="D257" s="931">
        <v>7.0000000000000007E-2</v>
      </c>
      <c r="E257" s="1146">
        <f>D257*E247</f>
        <v>0.45500000000000007</v>
      </c>
      <c r="F257" s="931">
        <v>4</v>
      </c>
      <c r="G257" s="932">
        <f t="shared" si="24"/>
        <v>1.8200000000000003</v>
      </c>
      <c r="H257" s="577"/>
      <c r="I257" s="577"/>
      <c r="J257" s="577"/>
      <c r="K257" s="577"/>
      <c r="L257" s="1035">
        <f t="shared" si="23"/>
        <v>1.8200000000000003</v>
      </c>
      <c r="M257" s="556"/>
      <c r="N257" s="556"/>
      <c r="O257" s="556"/>
      <c r="P257" s="556"/>
    </row>
    <row r="258" spans="1:16" s="448" customFormat="1" ht="28.2">
      <c r="A258" s="578">
        <v>48</v>
      </c>
      <c r="B258" s="579" t="s">
        <v>296</v>
      </c>
      <c r="C258" s="379" t="s">
        <v>47</v>
      </c>
      <c r="D258" s="379"/>
      <c r="E258" s="580">
        <f>3*2.86</f>
        <v>8.58</v>
      </c>
      <c r="F258" s="581"/>
      <c r="G258" s="406"/>
      <c r="H258" s="401"/>
      <c r="I258" s="582"/>
      <c r="J258" s="583"/>
      <c r="K258" s="583"/>
      <c r="L258" s="406"/>
    </row>
    <row r="259" spans="1:16" s="551" customFormat="1" ht="24.6" customHeight="1">
      <c r="A259" s="557"/>
      <c r="B259" s="558" t="s">
        <v>52</v>
      </c>
      <c r="C259" s="559" t="s">
        <v>43</v>
      </c>
      <c r="D259" s="549">
        <v>16.5</v>
      </c>
      <c r="E259" s="1138">
        <f>D259*E258</f>
        <v>141.57</v>
      </c>
      <c r="F259" s="511"/>
      <c r="G259" s="511"/>
      <c r="H259" s="561">
        <v>7.8</v>
      </c>
      <c r="I259" s="562">
        <f>H259*E259</f>
        <v>1104.2459999999999</v>
      </c>
      <c r="J259" s="562"/>
      <c r="K259" s="562"/>
      <c r="L259" s="1034">
        <f t="shared" ref="L259:L266" si="25">K259+I259+G259</f>
        <v>1104.2459999999999</v>
      </c>
      <c r="M259" s="556"/>
      <c r="N259" s="556"/>
      <c r="O259" s="556"/>
      <c r="P259" s="556"/>
    </row>
    <row r="260" spans="1:16" s="514" customFormat="1" ht="14.4" customHeight="1">
      <c r="A260" s="506"/>
      <c r="B260" s="513" t="s">
        <v>294</v>
      </c>
      <c r="C260" s="509" t="s">
        <v>276</v>
      </c>
      <c r="D260" s="509"/>
      <c r="E260" s="509">
        <v>3</v>
      </c>
      <c r="F260" s="509"/>
      <c r="G260" s="393"/>
      <c r="H260" s="393"/>
      <c r="I260" s="395"/>
      <c r="J260" s="393">
        <f>49.67*8</f>
        <v>397.36</v>
      </c>
      <c r="K260" s="565">
        <f>J260*E260</f>
        <v>1192.08</v>
      </c>
      <c r="L260" s="512">
        <f t="shared" si="25"/>
        <v>1192.08</v>
      </c>
    </row>
    <row r="261" spans="1:16" s="551" customFormat="1" ht="24" customHeight="1">
      <c r="A261" s="563"/>
      <c r="B261" s="564" t="s">
        <v>45</v>
      </c>
      <c r="C261" s="559" t="s">
        <v>2</v>
      </c>
      <c r="D261" s="511">
        <v>14.4</v>
      </c>
      <c r="E261" s="1143">
        <f>D261*E258</f>
        <v>123.55200000000001</v>
      </c>
      <c r="F261" s="511"/>
      <c r="G261" s="511"/>
      <c r="H261" s="561"/>
      <c r="I261" s="561"/>
      <c r="J261" s="561">
        <v>4</v>
      </c>
      <c r="K261" s="565">
        <f>J261*E261</f>
        <v>494.20800000000003</v>
      </c>
      <c r="L261" s="1022">
        <f t="shared" si="25"/>
        <v>494.20800000000003</v>
      </c>
      <c r="M261" s="556"/>
      <c r="N261" s="556"/>
      <c r="O261" s="556"/>
      <c r="P261" s="556"/>
    </row>
    <row r="262" spans="1:16" s="514" customFormat="1" ht="14.4" customHeight="1">
      <c r="A262" s="506"/>
      <c r="B262" s="513" t="s">
        <v>358</v>
      </c>
      <c r="C262" s="509" t="s">
        <v>61</v>
      </c>
      <c r="D262" s="509"/>
      <c r="E262" s="514">
        <v>3</v>
      </c>
      <c r="F262" s="509"/>
      <c r="G262" s="393"/>
      <c r="H262" s="393"/>
      <c r="I262" s="395"/>
      <c r="J262" s="393"/>
      <c r="K262" s="395"/>
      <c r="L262" s="1022"/>
    </row>
    <row r="263" spans="1:16" s="514" customFormat="1" ht="14.4" customHeight="1">
      <c r="A263" s="506"/>
      <c r="B263" s="513" t="s">
        <v>293</v>
      </c>
      <c r="C263" s="368" t="s">
        <v>47</v>
      </c>
      <c r="D263" s="509"/>
      <c r="E263" s="509">
        <v>0.1696</v>
      </c>
      <c r="F263" s="509">
        <v>3240</v>
      </c>
      <c r="G263" s="393">
        <f>F263*E263</f>
        <v>549.50400000000002</v>
      </c>
      <c r="H263" s="393"/>
      <c r="I263" s="395"/>
      <c r="J263" s="393"/>
      <c r="K263" s="395"/>
      <c r="L263" s="1022">
        <f t="shared" si="25"/>
        <v>549.50400000000002</v>
      </c>
    </row>
    <row r="264" spans="1:16" s="11" customFormat="1" ht="30">
      <c r="A264" s="116"/>
      <c r="B264" s="52" t="s">
        <v>64</v>
      </c>
      <c r="C264" s="116" t="s">
        <v>57</v>
      </c>
      <c r="D264" s="118">
        <v>35.6</v>
      </c>
      <c r="E264" s="101">
        <f>D264*E258</f>
        <v>305.44800000000004</v>
      </c>
      <c r="F264" s="101">
        <v>2.9</v>
      </c>
      <c r="G264" s="127">
        <f t="shared" ref="G264:G266" si="26">F264*E264</f>
        <v>885.79920000000004</v>
      </c>
      <c r="H264" s="101"/>
      <c r="I264" s="127"/>
      <c r="J264" s="101"/>
      <c r="K264" s="127"/>
      <c r="L264" s="751">
        <f t="shared" si="25"/>
        <v>885.79920000000004</v>
      </c>
      <c r="M264" s="69"/>
      <c r="N264" s="284"/>
      <c r="O264" s="189"/>
      <c r="P264" s="189"/>
    </row>
    <row r="265" spans="1:16" s="409" customFormat="1">
      <c r="A265" s="368"/>
      <c r="B265" s="462" t="s">
        <v>56</v>
      </c>
      <c r="C265" s="116" t="s">
        <v>57</v>
      </c>
      <c r="D265" s="118">
        <v>3</v>
      </c>
      <c r="E265" s="101">
        <f>D265*E258</f>
        <v>25.740000000000002</v>
      </c>
      <c r="F265" s="101">
        <v>4.41</v>
      </c>
      <c r="G265" s="127">
        <f t="shared" si="26"/>
        <v>113.51340000000002</v>
      </c>
      <c r="H265" s="101"/>
      <c r="I265" s="127"/>
      <c r="J265" s="101"/>
      <c r="K265" s="127"/>
      <c r="L265" s="127">
        <f t="shared" si="25"/>
        <v>113.51340000000002</v>
      </c>
    </row>
    <row r="266" spans="1:16" s="551" customFormat="1" ht="24" customHeight="1">
      <c r="A266" s="575"/>
      <c r="B266" s="576" t="s">
        <v>51</v>
      </c>
      <c r="C266" s="1011" t="s">
        <v>2</v>
      </c>
      <c r="D266" s="931">
        <v>5.3</v>
      </c>
      <c r="E266" s="1146">
        <f>D266*E258</f>
        <v>45.473999999999997</v>
      </c>
      <c r="F266" s="931">
        <v>4</v>
      </c>
      <c r="G266" s="932">
        <f t="shared" si="26"/>
        <v>181.89599999999999</v>
      </c>
      <c r="H266" s="577"/>
      <c r="I266" s="577"/>
      <c r="J266" s="577"/>
      <c r="K266" s="577"/>
      <c r="L266" s="1035">
        <f t="shared" si="25"/>
        <v>181.89599999999999</v>
      </c>
      <c r="M266" s="556"/>
      <c r="N266" s="556"/>
      <c r="O266" s="556"/>
      <c r="P266" s="556"/>
    </row>
    <row r="267" spans="1:16" s="296" customFormat="1" ht="36.6" customHeight="1">
      <c r="A267" s="296">
        <v>49</v>
      </c>
      <c r="B267" s="312" t="s">
        <v>359</v>
      </c>
      <c r="C267" s="321" t="s">
        <v>47</v>
      </c>
      <c r="D267" s="521"/>
      <c r="E267" s="453">
        <f>3*75.52/1000</f>
        <v>0.22656000000000001</v>
      </c>
      <c r="F267" s="451"/>
      <c r="G267" s="328"/>
      <c r="H267" s="453"/>
      <c r="I267" s="318"/>
      <c r="J267" s="453"/>
      <c r="K267" s="318"/>
      <c r="L267" s="328"/>
      <c r="N267" s="329"/>
    </row>
    <row r="268" spans="1:16">
      <c r="A268" s="116"/>
      <c r="B268" s="121" t="s">
        <v>42</v>
      </c>
      <c r="C268" s="1013" t="s">
        <v>43</v>
      </c>
      <c r="D268" s="123">
        <v>34.9</v>
      </c>
      <c r="E268" s="124">
        <f>D268*E267</f>
        <v>7.9069440000000002</v>
      </c>
      <c r="F268" s="125"/>
      <c r="G268" s="70"/>
      <c r="H268" s="125">
        <v>7.8</v>
      </c>
      <c r="I268" s="70">
        <f>H268*E268</f>
        <v>61.674163200000002</v>
      </c>
      <c r="J268" s="125"/>
      <c r="K268" s="70"/>
      <c r="L268" s="70">
        <f>K268+I268+G268</f>
        <v>61.674163200000002</v>
      </c>
      <c r="N268" s="284"/>
    </row>
    <row r="269" spans="1:16" s="514" customFormat="1" ht="14.4" customHeight="1">
      <c r="A269" s="899"/>
      <c r="B269" s="900" t="s">
        <v>295</v>
      </c>
      <c r="C269" s="730" t="s">
        <v>61</v>
      </c>
      <c r="D269" s="901"/>
      <c r="E269" s="901">
        <v>3</v>
      </c>
      <c r="F269" s="901">
        <v>317.22000000000003</v>
      </c>
      <c r="G269" s="393">
        <f>F269*E269</f>
        <v>951.66000000000008</v>
      </c>
      <c r="H269" s="393"/>
      <c r="I269" s="395"/>
      <c r="J269" s="393"/>
      <c r="K269" s="395"/>
      <c r="L269" s="1022">
        <f t="shared" ref="L269" si="27">K269+I269+G269</f>
        <v>951.66000000000008</v>
      </c>
    </row>
    <row r="270" spans="1:16" s="11" customFormat="1" ht="45">
      <c r="A270" s="321">
        <v>50</v>
      </c>
      <c r="B270" s="312" t="s">
        <v>68</v>
      </c>
      <c r="C270" s="321" t="s">
        <v>148</v>
      </c>
      <c r="D270" s="468"/>
      <c r="E270" s="453">
        <f>3*9.62</f>
        <v>28.86</v>
      </c>
      <c r="F270" s="327"/>
      <c r="G270" s="328"/>
      <c r="H270" s="327"/>
      <c r="I270" s="328"/>
      <c r="J270" s="327"/>
      <c r="K270" s="328"/>
      <c r="L270" s="328"/>
      <c r="M270" s="196"/>
      <c r="N270" s="284"/>
      <c r="O270" s="189"/>
      <c r="P270" s="189"/>
    </row>
    <row r="271" spans="1:16" s="11" customFormat="1" ht="17.399999999999999">
      <c r="A271" s="1013"/>
      <c r="B271" s="121" t="s">
        <v>42</v>
      </c>
      <c r="C271" s="1048" t="s">
        <v>149</v>
      </c>
      <c r="D271" s="123">
        <v>1</v>
      </c>
      <c r="E271" s="124">
        <f>D271*E270</f>
        <v>28.86</v>
      </c>
      <c r="F271" s="125"/>
      <c r="G271" s="70"/>
      <c r="H271" s="125">
        <v>6.25</v>
      </c>
      <c r="I271" s="70">
        <f>H271*E271</f>
        <v>180.375</v>
      </c>
      <c r="J271" s="125"/>
      <c r="K271" s="70"/>
      <c r="L271" s="70">
        <f>K271+I271+G271</f>
        <v>180.375</v>
      </c>
      <c r="M271" s="257"/>
      <c r="N271" s="284"/>
      <c r="O271" s="189"/>
      <c r="P271" s="189"/>
    </row>
    <row r="272" spans="1:16" s="11" customFormat="1">
      <c r="A272" s="116"/>
      <c r="B272" s="121" t="s">
        <v>49</v>
      </c>
      <c r="C272" s="1013" t="s">
        <v>66</v>
      </c>
      <c r="D272" s="703">
        <v>2.9999999999999997E-4</v>
      </c>
      <c r="E272" s="101">
        <f>D272*E270</f>
        <v>8.657999999999999E-3</v>
      </c>
      <c r="F272" s="100"/>
      <c r="G272" s="154"/>
      <c r="H272" s="101"/>
      <c r="I272" s="136"/>
      <c r="J272" s="101">
        <v>4</v>
      </c>
      <c r="K272" s="127">
        <f>J272*E272</f>
        <v>3.4631999999999996E-2</v>
      </c>
      <c r="L272" s="127">
        <f>K272+I272+G272</f>
        <v>3.4631999999999996E-2</v>
      </c>
      <c r="M272" s="189"/>
      <c r="N272" s="284"/>
      <c r="O272" s="189"/>
      <c r="P272" s="189"/>
    </row>
    <row r="273" spans="1:18" s="11" customFormat="1" ht="30">
      <c r="A273" s="1013"/>
      <c r="B273" s="52" t="s">
        <v>350</v>
      </c>
      <c r="C273" s="1013" t="s">
        <v>57</v>
      </c>
      <c r="D273" s="101">
        <f>(25.1+0.2+2.7)*0.01</f>
        <v>0.28000000000000003</v>
      </c>
      <c r="E273" s="101">
        <f>D273*E270</f>
        <v>8.0808</v>
      </c>
      <c r="F273" s="125">
        <v>27.2</v>
      </c>
      <c r="G273" s="70">
        <f>F273*E273</f>
        <v>219.79775999999998</v>
      </c>
      <c r="H273" s="125"/>
      <c r="I273" s="70"/>
      <c r="J273" s="125"/>
      <c r="K273" s="70"/>
      <c r="L273" s="70">
        <f>K273+I273+G273</f>
        <v>219.79775999999998</v>
      </c>
      <c r="M273" s="189"/>
      <c r="N273" s="284"/>
      <c r="O273" s="189"/>
      <c r="P273" s="189"/>
    </row>
    <row r="274" spans="1:18" s="367" customFormat="1" ht="21.9" customHeight="1">
      <c r="A274" s="814"/>
      <c r="B274" s="832" t="s">
        <v>69</v>
      </c>
      <c r="C274" s="850" t="s">
        <v>57</v>
      </c>
      <c r="D274" s="851">
        <v>0.15</v>
      </c>
      <c r="E274" s="852">
        <f>D274*E270</f>
        <v>4.3289999999999997</v>
      </c>
      <c r="F274" s="818">
        <v>5</v>
      </c>
      <c r="G274" s="818">
        <f>F274*E274</f>
        <v>21.645</v>
      </c>
      <c r="H274" s="814"/>
      <c r="I274" s="818"/>
      <c r="J274" s="814"/>
      <c r="K274" s="814"/>
      <c r="L274" s="818">
        <f>K274+I274+G274</f>
        <v>21.645</v>
      </c>
    </row>
    <row r="275" spans="1:18" s="11" customFormat="1">
      <c r="A275" s="116"/>
      <c r="B275" s="155" t="s">
        <v>51</v>
      </c>
      <c r="C275" s="1013" t="s">
        <v>2</v>
      </c>
      <c r="D275" s="703">
        <v>1.9E-3</v>
      </c>
      <c r="E275" s="101">
        <f>D275*E270</f>
        <v>5.4834000000000001E-2</v>
      </c>
      <c r="F275" s="101">
        <v>4</v>
      </c>
      <c r="G275" s="127">
        <f>F275*E275</f>
        <v>0.219336</v>
      </c>
      <c r="H275" s="101"/>
      <c r="I275" s="136"/>
      <c r="J275" s="135"/>
      <c r="K275" s="136"/>
      <c r="L275" s="127">
        <f>K275+I275+G275</f>
        <v>0.219336</v>
      </c>
      <c r="M275" s="189"/>
      <c r="N275" s="284"/>
      <c r="O275" s="189"/>
      <c r="P275" s="189"/>
    </row>
    <row r="276" spans="1:18" s="288" customFormat="1" ht="30">
      <c r="A276" s="344">
        <v>51</v>
      </c>
      <c r="B276" s="312" t="s">
        <v>375</v>
      </c>
      <c r="C276" s="498" t="s">
        <v>268</v>
      </c>
      <c r="D276" s="311"/>
      <c r="E276" s="327">
        <f>31*0.2+47.7</f>
        <v>53.900000000000006</v>
      </c>
      <c r="F276" s="315"/>
      <c r="G276" s="317"/>
      <c r="H276" s="327"/>
      <c r="I276" s="317"/>
      <c r="J276" s="316"/>
      <c r="K276" s="317"/>
      <c r="L276" s="505"/>
      <c r="N276" s="284"/>
    </row>
    <row r="277" spans="1:18" s="409" customFormat="1">
      <c r="A277" s="518"/>
      <c r="B277" s="431" t="s">
        <v>42</v>
      </c>
      <c r="C277" s="432" t="s">
        <v>43</v>
      </c>
      <c r="D277" s="508">
        <v>0.89</v>
      </c>
      <c r="E277" s="509">
        <f>D277*E276</f>
        <v>47.971000000000004</v>
      </c>
      <c r="F277" s="519"/>
      <c r="G277" s="510"/>
      <c r="H277" s="510">
        <v>7.8</v>
      </c>
      <c r="I277" s="510">
        <f>E277*H277</f>
        <v>374.17380000000003</v>
      </c>
      <c r="J277" s="510"/>
      <c r="K277" s="510"/>
      <c r="L277" s="510">
        <f t="shared" ref="L277" si="28">K277+I277+G277</f>
        <v>374.17380000000003</v>
      </c>
    </row>
    <row r="278" spans="1:18" s="398" customFormat="1" ht="13.5" customHeight="1">
      <c r="A278" s="542"/>
      <c r="B278" s="543" t="s">
        <v>49</v>
      </c>
      <c r="C278" s="534" t="s">
        <v>2</v>
      </c>
      <c r="D278" s="545">
        <v>0.37</v>
      </c>
      <c r="E278" s="546">
        <f>D278*E276</f>
        <v>19.943000000000001</v>
      </c>
      <c r="F278" s="527"/>
      <c r="G278" s="527"/>
      <c r="H278" s="527"/>
      <c r="I278" s="527"/>
      <c r="J278" s="527">
        <v>4</v>
      </c>
      <c r="K278" s="527">
        <f>E278*J278</f>
        <v>79.772000000000006</v>
      </c>
      <c r="L278" s="527">
        <f>K278+I278+G278</f>
        <v>79.772000000000006</v>
      </c>
    </row>
    <row r="279" spans="1:18" s="409" customFormat="1" ht="17.399999999999999">
      <c r="A279" s="518"/>
      <c r="B279" s="520" t="s">
        <v>46</v>
      </c>
      <c r="C279" s="509" t="s">
        <v>139</v>
      </c>
      <c r="D279" s="507">
        <v>1.1499999999999999</v>
      </c>
      <c r="E279" s="509">
        <f>D279*E276</f>
        <v>61.984999999999999</v>
      </c>
      <c r="F279" s="510">
        <v>24.99</v>
      </c>
      <c r="G279" s="510">
        <f>F279*E279</f>
        <v>1549.00515</v>
      </c>
      <c r="H279" s="510"/>
      <c r="I279" s="510"/>
      <c r="J279" s="510"/>
      <c r="K279" s="510"/>
      <c r="L279" s="510">
        <f t="shared" ref="L279" si="29">K279+I279+G279</f>
        <v>1549.00515</v>
      </c>
    </row>
    <row r="280" spans="1:18" s="293" customFormat="1" ht="31.5" customHeight="1">
      <c r="A280" s="450">
        <v>52</v>
      </c>
      <c r="B280" s="312" t="s">
        <v>187</v>
      </c>
      <c r="C280" s="321" t="s">
        <v>143</v>
      </c>
      <c r="D280" s="468"/>
      <c r="E280" s="453">
        <f>14.4/60*23.8</f>
        <v>5.7120000000000006</v>
      </c>
      <c r="F280" s="453"/>
      <c r="G280" s="318"/>
      <c r="H280" s="453"/>
      <c r="I280" s="318"/>
      <c r="J280" s="453"/>
      <c r="K280" s="318"/>
      <c r="L280" s="318"/>
      <c r="M280" s="469"/>
      <c r="N280" s="329"/>
    </row>
    <row r="281" spans="1:18" s="74" customFormat="1" ht="17.399999999999999">
      <c r="A281" s="166"/>
      <c r="B281" s="121" t="s">
        <v>70</v>
      </c>
      <c r="C281" s="1042" t="s">
        <v>139</v>
      </c>
      <c r="D281" s="703">
        <v>1</v>
      </c>
      <c r="E281" s="101">
        <f>D281*E280</f>
        <v>5.7120000000000006</v>
      </c>
      <c r="F281" s="139"/>
      <c r="G281" s="143"/>
      <c r="H281" s="139">
        <v>125</v>
      </c>
      <c r="I281" s="143">
        <f>H281*E281</f>
        <v>714.00000000000011</v>
      </c>
      <c r="J281" s="139"/>
      <c r="K281" s="143"/>
      <c r="L281" s="143">
        <f t="shared" ref="L281:L288" si="30">K281+I281+G281</f>
        <v>714.00000000000011</v>
      </c>
      <c r="M281" s="197"/>
      <c r="N281" s="284"/>
      <c r="O281" s="197"/>
      <c r="P281" s="197"/>
    </row>
    <row r="282" spans="1:18" s="74" customFormat="1">
      <c r="A282" s="147"/>
      <c r="B282" s="121" t="s">
        <v>49</v>
      </c>
      <c r="C282" s="1017" t="s">
        <v>2</v>
      </c>
      <c r="D282" s="703">
        <v>0.76</v>
      </c>
      <c r="E282" s="101">
        <f>D282*E280</f>
        <v>4.3411200000000001</v>
      </c>
      <c r="F282" s="141"/>
      <c r="G282" s="142"/>
      <c r="H282" s="172"/>
      <c r="I282" s="140"/>
      <c r="J282" s="172">
        <v>4</v>
      </c>
      <c r="K282" s="140">
        <f>E282*J282</f>
        <v>17.36448</v>
      </c>
      <c r="L282" s="140">
        <f t="shared" si="30"/>
        <v>17.36448</v>
      </c>
      <c r="M282" s="255"/>
      <c r="N282" s="284"/>
      <c r="O282" s="197"/>
      <c r="P282" s="197"/>
    </row>
    <row r="283" spans="1:18" s="60" customFormat="1" ht="17.399999999999999">
      <c r="A283" s="173"/>
      <c r="B283" s="52" t="s">
        <v>147</v>
      </c>
      <c r="C283" s="1017" t="s">
        <v>139</v>
      </c>
      <c r="D283" s="220">
        <v>1.02</v>
      </c>
      <c r="E283" s="101">
        <f>D283*E280</f>
        <v>5.8262400000000003</v>
      </c>
      <c r="F283" s="393">
        <f>148/1.18</f>
        <v>125.42372881355932</v>
      </c>
      <c r="G283" s="140">
        <f>E283*F283</f>
        <v>730.74874576271191</v>
      </c>
      <c r="H283" s="172"/>
      <c r="I283" s="140"/>
      <c r="J283" s="172"/>
      <c r="K283" s="140"/>
      <c r="L283" s="140">
        <f t="shared" si="30"/>
        <v>730.74874576271191</v>
      </c>
      <c r="M283" s="197"/>
      <c r="N283" s="284"/>
    </row>
    <row r="284" spans="1:18" s="1" customFormat="1">
      <c r="A284" s="865"/>
      <c r="B284" s="815" t="s">
        <v>59</v>
      </c>
      <c r="C284" s="816" t="s">
        <v>47</v>
      </c>
      <c r="D284" s="833"/>
      <c r="E284" s="1140">
        <f>21*1.1/1000/60*23.8</f>
        <v>9.163000000000001E-3</v>
      </c>
      <c r="F284" s="843">
        <v>2595</v>
      </c>
      <c r="G284" s="863">
        <f t="shared" ref="G284" si="31">F284*E284</f>
        <v>23.777985000000001</v>
      </c>
      <c r="H284" s="863"/>
      <c r="I284" s="864"/>
      <c r="J284" s="863"/>
      <c r="K284" s="864"/>
      <c r="L284" s="864">
        <f t="shared" si="30"/>
        <v>23.777985000000001</v>
      </c>
      <c r="M284" s="367"/>
      <c r="N284" s="367"/>
      <c r="O284" s="367"/>
      <c r="P284" s="367"/>
      <c r="Q284" s="367"/>
      <c r="R284" s="367"/>
    </row>
    <row r="285" spans="1:18" s="17" customFormat="1" ht="15" customHeight="1">
      <c r="A285" s="814"/>
      <c r="B285" s="832" t="s">
        <v>269</v>
      </c>
      <c r="C285" s="816" t="s">
        <v>47</v>
      </c>
      <c r="D285" s="833"/>
      <c r="E285" s="842">
        <f>1173*1.01/1000/60*23.8</f>
        <v>0.46994290000000005</v>
      </c>
      <c r="F285" s="844">
        <v>2376</v>
      </c>
      <c r="G285" s="818">
        <f>E285*F285</f>
        <v>1116.5843304000002</v>
      </c>
      <c r="H285" s="814"/>
      <c r="I285" s="818"/>
      <c r="J285" s="814"/>
      <c r="K285" s="814"/>
      <c r="L285" s="818">
        <f t="shared" si="30"/>
        <v>1116.5843304000002</v>
      </c>
    </row>
    <row r="286" spans="1:18" s="295" customFormat="1" ht="30">
      <c r="A286" s="1017"/>
      <c r="B286" s="121" t="s">
        <v>188</v>
      </c>
      <c r="C286" s="1017" t="s">
        <v>138</v>
      </c>
      <c r="D286" s="123">
        <v>0.80300000000000005</v>
      </c>
      <c r="E286" s="124">
        <f>D286*E280</f>
        <v>4.586736000000001</v>
      </c>
      <c r="F286" s="818">
        <v>25.73</v>
      </c>
      <c r="G286" s="140">
        <f>E286*F286</f>
        <v>118.01671728000002</v>
      </c>
      <c r="H286" s="172"/>
      <c r="I286" s="140"/>
      <c r="J286" s="172"/>
      <c r="K286" s="140"/>
      <c r="L286" s="140">
        <f t="shared" si="30"/>
        <v>118.01671728000002</v>
      </c>
      <c r="M286" s="197"/>
      <c r="N286" s="284"/>
    </row>
    <row r="287" spans="1:18" s="294" customFormat="1" ht="17.399999999999999">
      <c r="A287" s="1017"/>
      <c r="B287" s="121" t="s">
        <v>55</v>
      </c>
      <c r="C287" s="1017" t="s">
        <v>139</v>
      </c>
      <c r="D287" s="133">
        <v>3.8999999999999998E-3</v>
      </c>
      <c r="E287" s="134">
        <f>D287*E280</f>
        <v>2.2276800000000003E-2</v>
      </c>
      <c r="F287" s="125">
        <v>635.6</v>
      </c>
      <c r="G287" s="140">
        <f>E287*F287</f>
        <v>14.159134080000003</v>
      </c>
      <c r="H287" s="172"/>
      <c r="I287" s="140"/>
      <c r="J287" s="172"/>
      <c r="K287" s="140"/>
      <c r="L287" s="140">
        <f t="shared" si="30"/>
        <v>14.159134080000003</v>
      </c>
      <c r="M287" s="197"/>
      <c r="N287" s="284"/>
    </row>
    <row r="288" spans="1:18" s="74" customFormat="1">
      <c r="A288" s="147"/>
      <c r="B288" s="121" t="s">
        <v>51</v>
      </c>
      <c r="C288" s="122" t="s">
        <v>2</v>
      </c>
      <c r="D288" s="703">
        <v>0.13</v>
      </c>
      <c r="E288" s="101">
        <f>D288*E280</f>
        <v>0.74256000000000011</v>
      </c>
      <c r="F288" s="172">
        <v>4</v>
      </c>
      <c r="G288" s="140">
        <f>E288*F288</f>
        <v>2.9702400000000004</v>
      </c>
      <c r="H288" s="172"/>
      <c r="I288" s="140"/>
      <c r="J288" s="172"/>
      <c r="K288" s="140"/>
      <c r="L288" s="140">
        <f t="shared" si="30"/>
        <v>2.9702400000000004</v>
      </c>
      <c r="M288" s="189"/>
      <c r="N288" s="284"/>
      <c r="O288" s="197"/>
      <c r="P288" s="197"/>
    </row>
    <row r="289" spans="1:16" s="69" customFormat="1" ht="27.6">
      <c r="A289" s="450">
        <v>53</v>
      </c>
      <c r="B289" s="472" t="s">
        <v>189</v>
      </c>
      <c r="C289" s="321" t="s">
        <v>47</v>
      </c>
      <c r="D289" s="325"/>
      <c r="E289" s="326">
        <v>0.50800000000000001</v>
      </c>
      <c r="F289" s="327"/>
      <c r="G289" s="473"/>
      <c r="H289" s="474"/>
      <c r="I289" s="473"/>
      <c r="J289" s="474"/>
      <c r="K289" s="473"/>
      <c r="L289" s="328"/>
      <c r="N289" s="329"/>
    </row>
    <row r="290" spans="1:16" s="74" customFormat="1">
      <c r="A290" s="166"/>
      <c r="B290" s="121" t="s">
        <v>70</v>
      </c>
      <c r="C290" s="1010" t="s">
        <v>43</v>
      </c>
      <c r="D290" s="703">
        <v>26.5</v>
      </c>
      <c r="E290" s="101">
        <f>D290*E289</f>
        <v>13.462</v>
      </c>
      <c r="F290" s="139"/>
      <c r="G290" s="143"/>
      <c r="H290" s="139">
        <v>7.8</v>
      </c>
      <c r="I290" s="143">
        <f>H290*E290</f>
        <v>105.00359999999999</v>
      </c>
      <c r="J290" s="139"/>
      <c r="K290" s="143"/>
      <c r="L290" s="143">
        <f>K290+I290+G290</f>
        <v>105.00359999999999</v>
      </c>
      <c r="M290" s="197"/>
      <c r="N290" s="284"/>
      <c r="O290" s="197"/>
      <c r="P290" s="197"/>
    </row>
    <row r="291" spans="1:16" s="74" customFormat="1">
      <c r="A291" s="147"/>
      <c r="B291" s="121" t="s">
        <v>49</v>
      </c>
      <c r="C291" s="1010" t="s">
        <v>2</v>
      </c>
      <c r="D291" s="703">
        <v>0.6</v>
      </c>
      <c r="E291" s="101">
        <f>D291*E289</f>
        <v>0.30480000000000002</v>
      </c>
      <c r="F291" s="141"/>
      <c r="G291" s="142"/>
      <c r="H291" s="172"/>
      <c r="I291" s="140"/>
      <c r="J291" s="172">
        <v>4</v>
      </c>
      <c r="K291" s="140">
        <f>E291*J291</f>
        <v>1.2192000000000001</v>
      </c>
      <c r="L291" s="140">
        <f>K291+I291+G291</f>
        <v>1.2192000000000001</v>
      </c>
      <c r="M291" s="255"/>
      <c r="N291" s="284"/>
      <c r="O291" s="197"/>
      <c r="P291" s="197"/>
    </row>
    <row r="292" spans="1:16" s="288" customFormat="1">
      <c r="A292" s="116"/>
      <c r="B292" s="52" t="s">
        <v>285</v>
      </c>
      <c r="C292" s="116" t="s">
        <v>47</v>
      </c>
      <c r="D292" s="118"/>
      <c r="E292" s="101">
        <f>0.11157</f>
        <v>0.11157</v>
      </c>
      <c r="F292" s="139">
        <v>3220</v>
      </c>
      <c r="G292" s="140">
        <f>E292*F292</f>
        <v>359.25540000000001</v>
      </c>
      <c r="H292" s="172"/>
      <c r="I292" s="140"/>
      <c r="J292" s="172"/>
      <c r="K292" s="140"/>
      <c r="L292" s="140">
        <f>K292+I292+G292</f>
        <v>359.25540000000001</v>
      </c>
      <c r="M292" s="470"/>
      <c r="N292" s="284"/>
    </row>
    <row r="293" spans="1:16" s="288" customFormat="1">
      <c r="A293" s="116"/>
      <c r="B293" s="52" t="s">
        <v>286</v>
      </c>
      <c r="C293" s="116" t="s">
        <v>47</v>
      </c>
      <c r="D293" s="118"/>
      <c r="E293" s="101">
        <v>0.26112000000000002</v>
      </c>
      <c r="F293" s="139">
        <v>3220</v>
      </c>
      <c r="G293" s="140">
        <f>E293*F293</f>
        <v>840.80640000000005</v>
      </c>
      <c r="H293" s="172"/>
      <c r="I293" s="140"/>
      <c r="J293" s="172"/>
      <c r="K293" s="140"/>
      <c r="L293" s="140">
        <f>K293+I293+G293</f>
        <v>840.80640000000005</v>
      </c>
      <c r="M293" s="470"/>
      <c r="N293" s="284"/>
    </row>
    <row r="294" spans="1:16" s="288" customFormat="1">
      <c r="A294" s="116"/>
      <c r="B294" s="52" t="s">
        <v>297</v>
      </c>
      <c r="C294" s="116" t="s">
        <v>47</v>
      </c>
      <c r="D294" s="118"/>
      <c r="E294" s="101">
        <v>2.98E-2</v>
      </c>
      <c r="F294" s="139">
        <v>3220</v>
      </c>
      <c r="G294" s="140">
        <f>E294*F294</f>
        <v>95.956000000000003</v>
      </c>
      <c r="H294" s="172"/>
      <c r="I294" s="140"/>
      <c r="J294" s="172"/>
      <c r="K294" s="140"/>
      <c r="L294" s="140">
        <f>K294+I294+G294</f>
        <v>95.956000000000003</v>
      </c>
      <c r="M294" s="470"/>
      <c r="N294" s="284"/>
    </row>
    <row r="295" spans="1:16" s="893" customFormat="1" ht="17.399999999999999">
      <c r="A295" s="895"/>
      <c r="B295" s="894" t="s">
        <v>298</v>
      </c>
      <c r="C295" s="116" t="s">
        <v>47</v>
      </c>
      <c r="D295" s="896"/>
      <c r="E295" s="1147">
        <v>2.3700000000000001E-3</v>
      </c>
      <c r="F295" s="921">
        <v>3240</v>
      </c>
      <c r="G295" s="714">
        <f t="shared" ref="G295:G296" si="32">F295*E295</f>
        <v>7.6788000000000007</v>
      </c>
      <c r="H295" s="714"/>
      <c r="I295" s="891"/>
      <c r="J295" s="714"/>
      <c r="K295" s="891"/>
      <c r="L295" s="891">
        <f t="shared" ref="L295:L296" si="33">K295+I295+G295</f>
        <v>7.6788000000000007</v>
      </c>
    </row>
    <row r="296" spans="1:16" s="893" customFormat="1" ht="17.399999999999999">
      <c r="A296" s="895"/>
      <c r="B296" s="894" t="s">
        <v>284</v>
      </c>
      <c r="C296" s="116" t="s">
        <v>47</v>
      </c>
      <c r="D296" s="896"/>
      <c r="E296" s="1147">
        <v>0.10362</v>
      </c>
      <c r="F296" s="921">
        <v>3240</v>
      </c>
      <c r="G296" s="714">
        <f t="shared" si="32"/>
        <v>335.72880000000004</v>
      </c>
      <c r="H296" s="714"/>
      <c r="I296" s="891"/>
      <c r="J296" s="714"/>
      <c r="K296" s="891"/>
      <c r="L296" s="891">
        <f t="shared" si="33"/>
        <v>335.72880000000004</v>
      </c>
    </row>
    <row r="297" spans="1:16" ht="30">
      <c r="A297" s="116"/>
      <c r="B297" s="52" t="s">
        <v>64</v>
      </c>
      <c r="C297" s="122" t="s">
        <v>57</v>
      </c>
      <c r="D297" s="118">
        <v>26</v>
      </c>
      <c r="E297" s="101">
        <f>D297*E289</f>
        <v>13.208</v>
      </c>
      <c r="F297" s="101">
        <v>2.9</v>
      </c>
      <c r="G297" s="140">
        <f>E297*F297</f>
        <v>38.303199999999997</v>
      </c>
      <c r="H297" s="172"/>
      <c r="I297" s="140"/>
      <c r="J297" s="172"/>
      <c r="K297" s="140"/>
      <c r="L297" s="140">
        <f>K297+I297+G297</f>
        <v>38.303199999999997</v>
      </c>
      <c r="M297" s="471"/>
      <c r="N297" s="284"/>
    </row>
    <row r="298" spans="1:16" s="60" customFormat="1">
      <c r="A298" s="166"/>
      <c r="B298" s="52" t="s">
        <v>56</v>
      </c>
      <c r="C298" s="1010" t="s">
        <v>57</v>
      </c>
      <c r="D298" s="220">
        <v>12.8</v>
      </c>
      <c r="E298" s="101">
        <f>D298*E289</f>
        <v>6.5024000000000006</v>
      </c>
      <c r="F298" s="125">
        <v>4.41</v>
      </c>
      <c r="G298" s="140">
        <f>E298*F298</f>
        <v>28.675584000000004</v>
      </c>
      <c r="H298" s="172"/>
      <c r="I298" s="140"/>
      <c r="J298" s="172"/>
      <c r="K298" s="140"/>
      <c r="L298" s="140">
        <f>K298+I298+G298</f>
        <v>28.675584000000004</v>
      </c>
      <c r="N298" s="284"/>
    </row>
    <row r="299" spans="1:16" s="74" customFormat="1">
      <c r="A299" s="147"/>
      <c r="B299" s="121" t="s">
        <v>51</v>
      </c>
      <c r="C299" s="122" t="s">
        <v>2</v>
      </c>
      <c r="D299" s="703">
        <v>2.78</v>
      </c>
      <c r="E299" s="101">
        <f>D299*E289</f>
        <v>1.4122399999999999</v>
      </c>
      <c r="F299" s="172">
        <v>4</v>
      </c>
      <c r="G299" s="140">
        <f>E299*F299</f>
        <v>5.6489599999999998</v>
      </c>
      <c r="H299" s="172"/>
      <c r="I299" s="140"/>
      <c r="J299" s="172"/>
      <c r="K299" s="140"/>
      <c r="L299" s="140">
        <f>K299+I299+G299</f>
        <v>5.6489599999999998</v>
      </c>
      <c r="M299" s="189"/>
      <c r="N299" s="284"/>
      <c r="O299" s="197"/>
      <c r="P299" s="197"/>
    </row>
    <row r="300" spans="1:16" s="11" customFormat="1" ht="45">
      <c r="A300" s="321">
        <v>54</v>
      </c>
      <c r="B300" s="312" t="s">
        <v>68</v>
      </c>
      <c r="C300" s="321" t="s">
        <v>148</v>
      </c>
      <c r="D300" s="468"/>
      <c r="E300" s="453">
        <v>24.33</v>
      </c>
      <c r="F300" s="327"/>
      <c r="G300" s="328"/>
      <c r="H300" s="327"/>
      <c r="I300" s="328"/>
      <c r="J300" s="327"/>
      <c r="K300" s="328"/>
      <c r="L300" s="328"/>
      <c r="M300" s="196"/>
      <c r="N300" s="284"/>
      <c r="O300" s="189"/>
      <c r="P300" s="189"/>
    </row>
    <row r="301" spans="1:16" s="11" customFormat="1" ht="17.399999999999999">
      <c r="A301" s="1010"/>
      <c r="B301" s="121" t="s">
        <v>42</v>
      </c>
      <c r="C301" s="1048" t="s">
        <v>149</v>
      </c>
      <c r="D301" s="123">
        <v>1</v>
      </c>
      <c r="E301" s="124">
        <f>D301*E300</f>
        <v>24.33</v>
      </c>
      <c r="F301" s="125"/>
      <c r="G301" s="70"/>
      <c r="H301" s="125">
        <v>6.25</v>
      </c>
      <c r="I301" s="70">
        <f>H301*E301</f>
        <v>152.0625</v>
      </c>
      <c r="J301" s="125"/>
      <c r="K301" s="70"/>
      <c r="L301" s="70">
        <f>K301+I301+G301</f>
        <v>152.0625</v>
      </c>
      <c r="M301" s="257"/>
      <c r="N301" s="284"/>
      <c r="O301" s="189"/>
      <c r="P301" s="189"/>
    </row>
    <row r="302" spans="1:16" s="11" customFormat="1">
      <c r="A302" s="116"/>
      <c r="B302" s="121" t="s">
        <v>49</v>
      </c>
      <c r="C302" s="1010" t="s">
        <v>66</v>
      </c>
      <c r="D302" s="703">
        <v>2.9999999999999997E-4</v>
      </c>
      <c r="E302" s="101">
        <f>D302*E300</f>
        <v>7.2989999999999991E-3</v>
      </c>
      <c r="F302" s="100"/>
      <c r="G302" s="154"/>
      <c r="H302" s="101"/>
      <c r="I302" s="136"/>
      <c r="J302" s="101">
        <v>4</v>
      </c>
      <c r="K302" s="127">
        <f>J302*E302</f>
        <v>2.9195999999999996E-2</v>
      </c>
      <c r="L302" s="127">
        <f>K302+I302+G302</f>
        <v>2.9195999999999996E-2</v>
      </c>
      <c r="M302" s="189"/>
      <c r="N302" s="284"/>
      <c r="O302" s="189"/>
      <c r="P302" s="189"/>
    </row>
    <row r="303" spans="1:16" s="11" customFormat="1" ht="30">
      <c r="A303" s="1010"/>
      <c r="B303" s="52" t="s">
        <v>350</v>
      </c>
      <c r="C303" s="1010" t="s">
        <v>57</v>
      </c>
      <c r="D303" s="101">
        <f>(25.1+0.2+2.7)*0.01</f>
        <v>0.28000000000000003</v>
      </c>
      <c r="E303" s="101">
        <f>D303*E300</f>
        <v>6.8124000000000002</v>
      </c>
      <c r="F303" s="125">
        <v>27.2</v>
      </c>
      <c r="G303" s="70">
        <f>F303*E303</f>
        <v>185.29728</v>
      </c>
      <c r="H303" s="125"/>
      <c r="I303" s="70"/>
      <c r="J303" s="125"/>
      <c r="K303" s="70"/>
      <c r="L303" s="70">
        <f>K303+I303+G303</f>
        <v>185.29728</v>
      </c>
      <c r="M303" s="189"/>
      <c r="N303" s="284"/>
      <c r="O303" s="189"/>
      <c r="P303" s="189"/>
    </row>
    <row r="304" spans="1:16" s="367" customFormat="1" ht="21.9" customHeight="1">
      <c r="A304" s="814"/>
      <c r="B304" s="832" t="s">
        <v>69</v>
      </c>
      <c r="C304" s="850" t="s">
        <v>57</v>
      </c>
      <c r="D304" s="851">
        <v>0.15</v>
      </c>
      <c r="E304" s="852">
        <f>D304*E300</f>
        <v>3.6494999999999997</v>
      </c>
      <c r="F304" s="818">
        <v>5</v>
      </c>
      <c r="G304" s="818">
        <f>F304*E304</f>
        <v>18.247499999999999</v>
      </c>
      <c r="H304" s="814"/>
      <c r="I304" s="818"/>
      <c r="J304" s="814"/>
      <c r="K304" s="814"/>
      <c r="L304" s="818">
        <f>K304+I304+G304</f>
        <v>18.247499999999999</v>
      </c>
    </row>
    <row r="305" spans="1:16" s="11" customFormat="1">
      <c r="A305" s="116"/>
      <c r="B305" s="155" t="s">
        <v>51</v>
      </c>
      <c r="C305" s="1010" t="s">
        <v>2</v>
      </c>
      <c r="D305" s="703">
        <v>1.9E-3</v>
      </c>
      <c r="E305" s="101">
        <f>D305*E300</f>
        <v>4.6226999999999997E-2</v>
      </c>
      <c r="F305" s="101">
        <v>4</v>
      </c>
      <c r="G305" s="127">
        <f>F305*E305</f>
        <v>0.18490799999999999</v>
      </c>
      <c r="H305" s="101"/>
      <c r="I305" s="136"/>
      <c r="J305" s="135"/>
      <c r="K305" s="136"/>
      <c r="L305" s="127">
        <f>K305+I305+G305</f>
        <v>0.18490799999999999</v>
      </c>
      <c r="M305" s="189"/>
      <c r="N305" s="284"/>
      <c r="O305" s="189"/>
      <c r="P305" s="189"/>
    </row>
    <row r="306" spans="1:16" s="12" customFormat="1" ht="27.6">
      <c r="A306" s="344">
        <v>55</v>
      </c>
      <c r="B306" s="472" t="s">
        <v>321</v>
      </c>
      <c r="C306" s="321" t="s">
        <v>146</v>
      </c>
      <c r="D306" s="468"/>
      <c r="E306" s="453">
        <v>41</v>
      </c>
      <c r="F306" s="453"/>
      <c r="G306" s="318"/>
      <c r="H306" s="453"/>
      <c r="I306" s="475"/>
      <c r="J306" s="476"/>
      <c r="K306" s="475"/>
      <c r="L306" s="318"/>
      <c r="M306" s="197"/>
      <c r="N306" s="284"/>
      <c r="O306" s="196"/>
      <c r="P306" s="196"/>
    </row>
    <row r="307" spans="1:16" s="16" customFormat="1">
      <c r="A307" s="166"/>
      <c r="B307" s="121" t="s">
        <v>70</v>
      </c>
      <c r="C307" s="1010" t="s">
        <v>43</v>
      </c>
      <c r="D307" s="220">
        <v>0.82899999999999996</v>
      </c>
      <c r="E307" s="101">
        <f>D307*E306</f>
        <v>33.988999999999997</v>
      </c>
      <c r="F307" s="215"/>
      <c r="G307" s="70"/>
      <c r="H307" s="215">
        <v>6</v>
      </c>
      <c r="I307" s="221">
        <f>H307*E307</f>
        <v>203.93399999999997</v>
      </c>
      <c r="J307" s="215"/>
      <c r="K307" s="221"/>
      <c r="L307" s="127">
        <f>K307+I307+G307</f>
        <v>203.93399999999997</v>
      </c>
      <c r="M307" s="189"/>
      <c r="N307" s="284"/>
      <c r="O307" s="49"/>
      <c r="P307" s="49"/>
    </row>
    <row r="308" spans="1:16" s="74" customFormat="1">
      <c r="A308" s="1010"/>
      <c r="B308" s="121" t="s">
        <v>49</v>
      </c>
      <c r="C308" s="1010" t="s">
        <v>2</v>
      </c>
      <c r="D308" s="123">
        <v>3.8999999999999998E-3</v>
      </c>
      <c r="E308" s="124">
        <f>D308*E306</f>
        <v>0.15989999999999999</v>
      </c>
      <c r="F308" s="125"/>
      <c r="G308" s="70"/>
      <c r="H308" s="125"/>
      <c r="I308" s="70"/>
      <c r="J308" s="125">
        <v>4</v>
      </c>
      <c r="K308" s="167">
        <f>J308*E308</f>
        <v>0.63959999999999995</v>
      </c>
      <c r="L308" s="167">
        <f>K308+I308+G308</f>
        <v>0.63959999999999995</v>
      </c>
      <c r="M308" s="189"/>
      <c r="N308" s="284"/>
      <c r="O308" s="197"/>
      <c r="P308" s="197"/>
    </row>
    <row r="309" spans="1:16" s="11" customFormat="1" ht="17.399999999999999">
      <c r="A309" s="1010"/>
      <c r="B309" s="52" t="s">
        <v>318</v>
      </c>
      <c r="C309" s="1010" t="s">
        <v>138</v>
      </c>
      <c r="D309" s="133">
        <v>1.03</v>
      </c>
      <c r="E309" s="134">
        <f>D309*E306</f>
        <v>42.230000000000004</v>
      </c>
      <c r="F309" s="215">
        <v>20.6</v>
      </c>
      <c r="G309" s="127">
        <f>F309*E309</f>
        <v>869.9380000000001</v>
      </c>
      <c r="H309" s="125"/>
      <c r="I309" s="70"/>
      <c r="J309" s="125"/>
      <c r="K309" s="70"/>
      <c r="L309" s="70">
        <f>K309+I309+G309</f>
        <v>869.9380000000001</v>
      </c>
      <c r="M309" s="189"/>
      <c r="N309" s="284"/>
      <c r="O309" s="189"/>
      <c r="P309" s="189"/>
    </row>
    <row r="310" spans="1:16" s="74" customFormat="1">
      <c r="A310" s="173"/>
      <c r="B310" s="52" t="s">
        <v>51</v>
      </c>
      <c r="C310" s="1010" t="s">
        <v>2</v>
      </c>
      <c r="D310" s="703">
        <v>1.6E-2</v>
      </c>
      <c r="E310" s="101">
        <f>D310*E306</f>
        <v>0.65600000000000003</v>
      </c>
      <c r="F310" s="125">
        <v>4</v>
      </c>
      <c r="G310" s="70">
        <f>F310*E310</f>
        <v>2.6240000000000001</v>
      </c>
      <c r="H310" s="164"/>
      <c r="I310" s="55"/>
      <c r="J310" s="164"/>
      <c r="K310" s="55"/>
      <c r="L310" s="70">
        <f>K310+I310+G310</f>
        <v>2.6240000000000001</v>
      </c>
      <c r="M310" s="189"/>
      <c r="N310" s="284"/>
      <c r="O310" s="197"/>
      <c r="P310" s="197"/>
    </row>
    <row r="311" spans="1:16" s="40" customFormat="1">
      <c r="A311" s="450">
        <v>56</v>
      </c>
      <c r="B311" s="320" t="s">
        <v>374</v>
      </c>
      <c r="C311" s="321" t="s">
        <v>96</v>
      </c>
      <c r="D311" s="311"/>
      <c r="E311" s="453">
        <v>1</v>
      </c>
      <c r="F311" s="327"/>
      <c r="G311" s="328"/>
      <c r="H311" s="327"/>
      <c r="I311" s="328"/>
      <c r="J311" s="327"/>
      <c r="K311" s="328"/>
      <c r="L311" s="328"/>
      <c r="N311" s="329"/>
    </row>
    <row r="312" spans="1:16" s="189" customFormat="1">
      <c r="A312" s="1010"/>
      <c r="B312" s="1040" t="s">
        <v>357</v>
      </c>
      <c r="C312" s="1010"/>
      <c r="D312" s="123"/>
      <c r="E312" s="124"/>
      <c r="F312" s="125"/>
      <c r="G312" s="70"/>
      <c r="H312" s="125"/>
      <c r="I312" s="70"/>
      <c r="J312" s="125"/>
      <c r="K312" s="70"/>
      <c r="L312" s="70"/>
      <c r="N312" s="284"/>
    </row>
    <row r="313" spans="1:16" s="189" customFormat="1" ht="16.5" customHeight="1">
      <c r="A313" s="310"/>
      <c r="B313" s="312" t="s">
        <v>83</v>
      </c>
      <c r="C313" s="313"/>
      <c r="D313" s="314"/>
      <c r="E313" s="315"/>
      <c r="F313" s="315"/>
      <c r="G313" s="318">
        <f>SUM(G9:G312)</f>
        <v>31864.930827565189</v>
      </c>
      <c r="H313" s="315"/>
      <c r="I313" s="318">
        <f>SUM(I9:I312)</f>
        <v>15079.409946799999</v>
      </c>
      <c r="J313" s="316"/>
      <c r="K313" s="318">
        <f>SUM(K9:K312)</f>
        <v>8008.902697819999</v>
      </c>
      <c r="L313" s="318">
        <f>SUM(L9:L312)</f>
        <v>54953.243472185197</v>
      </c>
      <c r="N313" s="284"/>
    </row>
    <row r="314" spans="1:16" s="189" customFormat="1" ht="16.5" customHeight="1">
      <c r="A314" s="822"/>
      <c r="B314" s="832" t="s">
        <v>328</v>
      </c>
      <c r="C314" s="955">
        <v>0.05</v>
      </c>
      <c r="D314" s="823"/>
      <c r="E314" s="824"/>
      <c r="F314" s="824"/>
      <c r="G314" s="827"/>
      <c r="H314" s="824"/>
      <c r="I314" s="827"/>
      <c r="J314" s="826"/>
      <c r="K314" s="827"/>
      <c r="L314" s="827">
        <f>G313*C314</f>
        <v>1593.2465413782595</v>
      </c>
      <c r="N314" s="284"/>
    </row>
    <row r="315" spans="1:16" s="189" customFormat="1" ht="16.5" customHeight="1">
      <c r="A315" s="822"/>
      <c r="B315" s="129" t="s">
        <v>21</v>
      </c>
      <c r="C315" s="814"/>
      <c r="D315" s="823"/>
      <c r="E315" s="824"/>
      <c r="F315" s="824"/>
      <c r="G315" s="827"/>
      <c r="H315" s="824"/>
      <c r="I315" s="827"/>
      <c r="J315" s="826"/>
      <c r="K315" s="827"/>
      <c r="L315" s="956">
        <f>L313+L314</f>
        <v>56546.49001356346</v>
      </c>
      <c r="N315" s="284"/>
    </row>
    <row r="316" spans="1:16" s="297" customFormat="1">
      <c r="A316" s="147"/>
      <c r="B316" s="126" t="s">
        <v>84</v>
      </c>
      <c r="C316" s="131" t="s">
        <v>85</v>
      </c>
      <c r="D316" s="118"/>
      <c r="E316" s="101"/>
      <c r="F316" s="101"/>
      <c r="G316" s="127"/>
      <c r="H316" s="101"/>
      <c r="I316" s="101"/>
      <c r="J316" s="101"/>
      <c r="K316" s="127"/>
      <c r="L316" s="127">
        <f>(L315)*C316</f>
        <v>5654.6490013563462</v>
      </c>
      <c r="M316" s="189"/>
      <c r="N316" s="284"/>
    </row>
    <row r="317" spans="1:16" s="298" customFormat="1">
      <c r="A317" s="147"/>
      <c r="B317" s="129" t="s">
        <v>21</v>
      </c>
      <c r="C317" s="156"/>
      <c r="D317" s="132"/>
      <c r="E317" s="137"/>
      <c r="F317" s="137"/>
      <c r="G317" s="138"/>
      <c r="H317" s="137"/>
      <c r="I317" s="137"/>
      <c r="J317" s="137"/>
      <c r="K317" s="138"/>
      <c r="L317" s="138">
        <f>L316+L315</f>
        <v>62201.139014919805</v>
      </c>
      <c r="N317" s="284"/>
    </row>
    <row r="318" spans="1:16" s="297" customFormat="1">
      <c r="A318" s="147"/>
      <c r="B318" s="126" t="s">
        <v>87</v>
      </c>
      <c r="C318" s="131" t="s">
        <v>86</v>
      </c>
      <c r="D318" s="118"/>
      <c r="E318" s="101"/>
      <c r="F318" s="101"/>
      <c r="G318" s="127"/>
      <c r="H318" s="101"/>
      <c r="I318" s="101"/>
      <c r="J318" s="101"/>
      <c r="K318" s="127"/>
      <c r="L318" s="127">
        <f>L317*C318</f>
        <v>4976.0911211935845</v>
      </c>
      <c r="N318" s="284"/>
    </row>
    <row r="319" spans="1:16" s="296" customFormat="1">
      <c r="A319" s="147"/>
      <c r="B319" s="53" t="s">
        <v>22</v>
      </c>
      <c r="C319" s="525"/>
      <c r="D319" s="132"/>
      <c r="E319" s="137"/>
      <c r="F319" s="137"/>
      <c r="G319" s="138"/>
      <c r="H319" s="137"/>
      <c r="I319" s="137"/>
      <c r="J319" s="137"/>
      <c r="K319" s="138"/>
      <c r="L319" s="138">
        <f>SUM(L317:L318)</f>
        <v>67177.230136113387</v>
      </c>
      <c r="N319" s="284"/>
    </row>
    <row r="320" spans="1:16">
      <c r="C320" s="175"/>
      <c r="D320" s="176"/>
      <c r="E320" s="177"/>
      <c r="F320" s="178"/>
      <c r="G320" s="66"/>
      <c r="H320" s="178"/>
      <c r="I320" s="178"/>
      <c r="J320" s="178"/>
      <c r="K320" s="178"/>
      <c r="L320" s="177"/>
    </row>
    <row r="321" spans="1:18">
      <c r="B321" s="58"/>
      <c r="C321" s="50"/>
      <c r="D321" s="179"/>
      <c r="E321" s="180"/>
      <c r="F321" s="180"/>
      <c r="G321" s="181"/>
      <c r="H321" s="182"/>
      <c r="I321" s="182"/>
      <c r="J321" s="182"/>
      <c r="K321" s="182"/>
      <c r="L321" s="178"/>
    </row>
    <row r="322" spans="1:18" ht="41.25" customHeight="1">
      <c r="B322" s="58"/>
      <c r="C322" s="58"/>
      <c r="D322" s="183"/>
      <c r="E322" s="180"/>
      <c r="F322" s="180"/>
      <c r="G322" s="59"/>
      <c r="H322" s="184"/>
      <c r="I322" s="184"/>
      <c r="J322" s="184"/>
      <c r="K322" s="184"/>
      <c r="L322" s="177"/>
    </row>
    <row r="323" spans="1:18" ht="20.25" customHeight="1">
      <c r="B323" s="58"/>
      <c r="C323" s="58"/>
      <c r="D323" s="183"/>
      <c r="E323" s="180"/>
      <c r="F323" s="180"/>
      <c r="G323" s="59"/>
      <c r="H323" s="185"/>
      <c r="I323" s="185"/>
      <c r="J323" s="185"/>
      <c r="K323" s="185"/>
      <c r="L323" s="177"/>
    </row>
    <row r="324" spans="1:18">
      <c r="D324" s="176"/>
      <c r="E324" s="177"/>
      <c r="F324" s="177"/>
      <c r="G324" s="186"/>
      <c r="H324" s="177"/>
      <c r="I324" s="177"/>
      <c r="J324" s="177"/>
      <c r="K324" s="177"/>
      <c r="L324" s="177"/>
    </row>
    <row r="325" spans="1:18">
      <c r="D325" s="176"/>
      <c r="E325" s="177"/>
      <c r="F325" s="177"/>
      <c r="G325" s="186"/>
      <c r="H325" s="177"/>
      <c r="I325" s="177"/>
      <c r="J325" s="177"/>
      <c r="K325" s="177"/>
      <c r="L325" s="177"/>
    </row>
    <row r="326" spans="1:18">
      <c r="D326" s="176"/>
      <c r="E326" s="177"/>
      <c r="F326" s="177"/>
      <c r="G326" s="186"/>
      <c r="H326" s="177"/>
      <c r="I326" s="177"/>
      <c r="J326" s="177"/>
      <c r="K326" s="177"/>
      <c r="L326" s="177"/>
    </row>
    <row r="327" spans="1:18">
      <c r="D327" s="176"/>
      <c r="E327" s="177"/>
      <c r="F327" s="177"/>
      <c r="G327" s="186"/>
      <c r="H327" s="177"/>
      <c r="I327" s="177"/>
      <c r="J327" s="177"/>
      <c r="K327" s="177"/>
      <c r="L327" s="177"/>
    </row>
    <row r="328" spans="1:18">
      <c r="D328" s="176"/>
      <c r="E328" s="177"/>
      <c r="F328" s="177"/>
      <c r="G328" s="186"/>
      <c r="H328" s="177"/>
      <c r="I328" s="177"/>
      <c r="J328" s="177"/>
      <c r="K328" s="177"/>
      <c r="L328" s="177"/>
    </row>
    <row r="329" spans="1:18">
      <c r="D329" s="176"/>
      <c r="E329" s="177"/>
      <c r="F329" s="177"/>
      <c r="G329" s="186"/>
      <c r="H329" s="177"/>
      <c r="I329" s="177"/>
      <c r="J329" s="177"/>
      <c r="K329" s="177"/>
      <c r="L329" s="177"/>
    </row>
    <row r="330" spans="1:18">
      <c r="D330" s="176"/>
      <c r="E330" s="177"/>
      <c r="F330" s="177"/>
      <c r="G330" s="186"/>
      <c r="H330" s="177"/>
      <c r="I330" s="177"/>
      <c r="J330" s="177"/>
      <c r="K330" s="177"/>
      <c r="L330" s="177"/>
    </row>
    <row r="331" spans="1:18">
      <c r="D331" s="176"/>
      <c r="E331" s="177"/>
      <c r="F331" s="177"/>
      <c r="G331" s="186"/>
      <c r="H331" s="177"/>
      <c r="I331" s="177"/>
      <c r="J331" s="177"/>
      <c r="K331" s="177"/>
      <c r="L331" s="177"/>
    </row>
    <row r="332" spans="1:18">
      <c r="D332" s="176"/>
      <c r="E332" s="177"/>
      <c r="F332" s="177"/>
      <c r="G332" s="186"/>
      <c r="H332" s="177"/>
      <c r="I332" s="177"/>
      <c r="J332" s="177"/>
      <c r="K332" s="177"/>
      <c r="L332" s="177"/>
    </row>
    <row r="333" spans="1:18">
      <c r="D333" s="176"/>
      <c r="E333" s="177"/>
      <c r="F333" s="177"/>
      <c r="G333" s="186"/>
      <c r="H333" s="177"/>
      <c r="I333" s="177"/>
      <c r="J333" s="177"/>
      <c r="K333" s="177"/>
      <c r="L333" s="177"/>
    </row>
    <row r="334" spans="1:18">
      <c r="D334" s="176"/>
      <c r="E334" s="177"/>
      <c r="F334" s="177"/>
      <c r="G334" s="186"/>
      <c r="H334" s="177"/>
      <c r="I334" s="177"/>
      <c r="J334" s="177"/>
      <c r="K334" s="177"/>
      <c r="L334" s="177"/>
    </row>
    <row r="335" spans="1:18" s="216" customFormat="1">
      <c r="A335" s="62"/>
      <c r="B335" s="18"/>
      <c r="C335" s="51"/>
      <c r="D335" s="176"/>
      <c r="E335" s="177"/>
      <c r="F335" s="177"/>
      <c r="G335" s="186"/>
      <c r="H335" s="177"/>
      <c r="I335" s="177"/>
      <c r="J335" s="177"/>
      <c r="K335" s="177"/>
      <c r="L335" s="177"/>
      <c r="M335" s="255"/>
      <c r="N335" s="255"/>
      <c r="O335" s="255"/>
      <c r="P335" s="255"/>
      <c r="Q335" s="255"/>
      <c r="R335" s="255"/>
    </row>
    <row r="336" spans="1:18" s="216" customFormat="1">
      <c r="A336" s="62"/>
      <c r="B336" s="18"/>
      <c r="C336" s="51"/>
      <c r="D336" s="176"/>
      <c r="E336" s="177"/>
      <c r="F336" s="177"/>
      <c r="G336" s="186"/>
      <c r="H336" s="177"/>
      <c r="I336" s="177"/>
      <c r="J336" s="177"/>
      <c r="K336" s="177"/>
      <c r="L336" s="177"/>
      <c r="M336" s="255"/>
      <c r="N336" s="255"/>
      <c r="O336" s="255"/>
      <c r="P336" s="255"/>
      <c r="Q336" s="255"/>
      <c r="R336" s="255"/>
    </row>
    <row r="337" spans="1:18" s="216" customFormat="1">
      <c r="A337" s="62"/>
      <c r="B337" s="18"/>
      <c r="C337" s="51"/>
      <c r="D337" s="176"/>
      <c r="E337" s="177"/>
      <c r="F337" s="177"/>
      <c r="G337" s="186"/>
      <c r="H337" s="177"/>
      <c r="I337" s="177"/>
      <c r="J337" s="177"/>
      <c r="K337" s="177"/>
      <c r="L337" s="177"/>
      <c r="M337" s="255"/>
      <c r="N337" s="255"/>
      <c r="O337" s="255"/>
      <c r="P337" s="255"/>
      <c r="Q337" s="255"/>
      <c r="R337" s="255"/>
    </row>
    <row r="338" spans="1:18" s="216" customFormat="1">
      <c r="A338" s="62"/>
      <c r="B338" s="18"/>
      <c r="C338" s="51"/>
      <c r="D338" s="176"/>
      <c r="E338" s="177"/>
      <c r="F338" s="177"/>
      <c r="G338" s="186"/>
      <c r="H338" s="177"/>
      <c r="I338" s="177"/>
      <c r="J338" s="177"/>
      <c r="K338" s="177"/>
      <c r="L338" s="177"/>
      <c r="M338" s="255"/>
      <c r="N338" s="255"/>
      <c r="O338" s="255"/>
      <c r="P338" s="255"/>
      <c r="Q338" s="255"/>
      <c r="R338" s="255"/>
    </row>
    <row r="339" spans="1:18" s="216" customFormat="1">
      <c r="A339" s="62"/>
      <c r="B339" s="18"/>
      <c r="C339" s="51"/>
      <c r="D339" s="176"/>
      <c r="E339" s="177"/>
      <c r="F339" s="177"/>
      <c r="G339" s="186"/>
      <c r="H339" s="177"/>
      <c r="I339" s="177"/>
      <c r="J339" s="177"/>
      <c r="K339" s="177"/>
      <c r="L339" s="177"/>
      <c r="M339" s="255"/>
      <c r="N339" s="255"/>
      <c r="O339" s="255"/>
      <c r="P339" s="255"/>
      <c r="Q339" s="255"/>
      <c r="R339" s="255"/>
    </row>
    <row r="340" spans="1:18" s="216" customFormat="1">
      <c r="A340" s="62"/>
      <c r="B340" s="18"/>
      <c r="C340" s="51"/>
      <c r="D340" s="176"/>
      <c r="E340" s="177"/>
      <c r="F340" s="177"/>
      <c r="G340" s="186"/>
      <c r="H340" s="177"/>
      <c r="I340" s="177"/>
      <c r="J340" s="177"/>
      <c r="K340" s="177"/>
      <c r="L340" s="177"/>
      <c r="M340" s="255"/>
      <c r="N340" s="255"/>
      <c r="O340" s="255"/>
      <c r="P340" s="255"/>
      <c r="Q340" s="255"/>
      <c r="R340" s="255"/>
    </row>
    <row r="341" spans="1:18" s="216" customFormat="1">
      <c r="A341" s="62"/>
      <c r="B341" s="18"/>
      <c r="C341" s="51"/>
      <c r="D341" s="176"/>
      <c r="E341" s="177"/>
      <c r="F341" s="177"/>
      <c r="G341" s="186"/>
      <c r="H341" s="177"/>
      <c r="I341" s="177"/>
      <c r="J341" s="177"/>
      <c r="K341" s="177"/>
      <c r="L341" s="177"/>
      <c r="M341" s="255"/>
      <c r="N341" s="255"/>
      <c r="O341" s="255"/>
      <c r="P341" s="255"/>
      <c r="Q341" s="255"/>
      <c r="R341" s="255"/>
    </row>
    <row r="342" spans="1:18" s="216" customFormat="1">
      <c r="A342" s="62"/>
      <c r="B342" s="18"/>
      <c r="C342" s="51"/>
      <c r="D342" s="176"/>
      <c r="E342" s="177"/>
      <c r="F342" s="177"/>
      <c r="G342" s="186"/>
      <c r="H342" s="177"/>
      <c r="I342" s="177"/>
      <c r="J342" s="177"/>
      <c r="K342" s="177"/>
      <c r="L342" s="177"/>
      <c r="M342" s="255"/>
      <c r="N342" s="255"/>
      <c r="O342" s="255"/>
      <c r="P342" s="255"/>
      <c r="Q342" s="255"/>
      <c r="R342" s="255"/>
    </row>
    <row r="343" spans="1:18" s="216" customFormat="1">
      <c r="A343" s="62"/>
      <c r="B343" s="18"/>
      <c r="C343" s="51"/>
      <c r="D343" s="176"/>
      <c r="E343" s="177"/>
      <c r="F343" s="177"/>
      <c r="G343" s="186"/>
      <c r="H343" s="177"/>
      <c r="I343" s="177"/>
      <c r="J343" s="177"/>
      <c r="K343" s="177"/>
      <c r="L343" s="177"/>
      <c r="M343" s="255"/>
      <c r="N343" s="255"/>
      <c r="O343" s="255"/>
      <c r="P343" s="255"/>
      <c r="Q343" s="255"/>
      <c r="R343" s="255"/>
    </row>
    <row r="344" spans="1:18" s="216" customFormat="1">
      <c r="A344" s="62"/>
      <c r="B344" s="18"/>
      <c r="C344" s="51"/>
      <c r="D344" s="176"/>
      <c r="E344" s="177"/>
      <c r="F344" s="177"/>
      <c r="G344" s="186"/>
      <c r="H344" s="177"/>
      <c r="I344" s="177"/>
      <c r="J344" s="177"/>
      <c r="K344" s="177"/>
      <c r="L344" s="177"/>
      <c r="M344" s="255"/>
      <c r="N344" s="255"/>
      <c r="O344" s="255"/>
      <c r="P344" s="255"/>
      <c r="Q344" s="255"/>
      <c r="R344" s="255"/>
    </row>
    <row r="345" spans="1:18" s="216" customFormat="1">
      <c r="A345" s="62"/>
      <c r="B345" s="18"/>
      <c r="C345" s="51"/>
      <c r="D345" s="176"/>
      <c r="E345" s="177"/>
      <c r="F345" s="177"/>
      <c r="G345" s="186"/>
      <c r="H345" s="177"/>
      <c r="I345" s="177"/>
      <c r="J345" s="177"/>
      <c r="K345" s="177"/>
      <c r="L345" s="177"/>
      <c r="M345" s="255"/>
      <c r="N345" s="255"/>
      <c r="O345" s="255"/>
      <c r="P345" s="255"/>
      <c r="Q345" s="255"/>
      <c r="R345" s="255"/>
    </row>
    <row r="346" spans="1:18" s="216" customFormat="1">
      <c r="A346" s="62"/>
      <c r="B346" s="18"/>
      <c r="C346" s="51"/>
      <c r="D346" s="187"/>
      <c r="E346" s="186"/>
      <c r="F346" s="186"/>
      <c r="G346" s="186"/>
      <c r="H346" s="186"/>
      <c r="I346" s="186"/>
      <c r="J346" s="186"/>
      <c r="K346" s="186"/>
      <c r="L346" s="186"/>
      <c r="M346" s="255"/>
      <c r="N346" s="255"/>
      <c r="O346" s="255"/>
      <c r="P346" s="255"/>
      <c r="Q346" s="255"/>
      <c r="R346" s="255"/>
    </row>
    <row r="347" spans="1:18" s="216" customFormat="1">
      <c r="A347" s="62"/>
      <c r="B347" s="18"/>
      <c r="C347" s="51"/>
      <c r="D347" s="187"/>
      <c r="E347" s="186"/>
      <c r="F347" s="186"/>
      <c r="G347" s="186"/>
      <c r="H347" s="186"/>
      <c r="I347" s="186"/>
      <c r="J347" s="186"/>
      <c r="K347" s="186"/>
      <c r="L347" s="186"/>
      <c r="M347" s="255"/>
      <c r="N347" s="255"/>
      <c r="O347" s="255"/>
      <c r="P347" s="255"/>
      <c r="Q347" s="255"/>
      <c r="R347" s="255"/>
    </row>
    <row r="348" spans="1:18" s="216" customFormat="1">
      <c r="A348" s="62"/>
      <c r="B348" s="18"/>
      <c r="C348" s="51"/>
      <c r="D348" s="187"/>
      <c r="E348" s="186"/>
      <c r="F348" s="186"/>
      <c r="G348" s="186"/>
      <c r="H348" s="186"/>
      <c r="I348" s="186"/>
      <c r="J348" s="186"/>
      <c r="K348" s="186"/>
      <c r="L348" s="186"/>
      <c r="M348" s="255"/>
      <c r="N348" s="255"/>
      <c r="O348" s="255"/>
      <c r="P348" s="255"/>
      <c r="Q348" s="255"/>
      <c r="R348" s="255"/>
    </row>
    <row r="349" spans="1:18" s="216" customFormat="1">
      <c r="A349" s="62"/>
      <c r="B349" s="18"/>
      <c r="C349" s="51"/>
      <c r="D349" s="187"/>
      <c r="E349" s="187"/>
      <c r="F349" s="187"/>
      <c r="G349" s="187"/>
      <c r="H349" s="187"/>
      <c r="I349" s="187"/>
      <c r="J349" s="187"/>
      <c r="K349" s="187"/>
      <c r="L349" s="187"/>
      <c r="M349" s="255"/>
      <c r="N349" s="255"/>
      <c r="O349" s="255"/>
      <c r="P349" s="255"/>
      <c r="Q349" s="255"/>
      <c r="R349" s="255"/>
    </row>
  </sheetData>
  <autoFilter ref="A7:L348"/>
  <mergeCells count="10">
    <mergeCell ref="L5:L6"/>
    <mergeCell ref="B2:J2"/>
    <mergeCell ref="B3:I3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118110236220472" right="0.118110236220472" top="0.31299212599999998" bottom="0.24803149599999999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16737" r:id="rId4" name="Control 1">
          <controlPr defaultSize="0" r:id="rId5">
            <anchor moveWithCells="1">
              <from>
                <xdr:col>12</xdr:col>
                <xdr:colOff>129540</xdr:colOff>
                <xdr:row>270</xdr:row>
                <xdr:rowOff>7620</xdr:rowOff>
              </from>
              <to>
                <xdr:col>12</xdr:col>
                <xdr:colOff>358140</xdr:colOff>
                <xdr:row>271</xdr:row>
                <xdr:rowOff>22860</xdr:rowOff>
              </to>
            </anchor>
          </controlPr>
        </control>
      </mc:Choice>
      <mc:Fallback>
        <control shapeId="116737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view="pageBreakPreview" topLeftCell="A19" zoomScaleSheetLayoutView="100" workbookViewId="0">
      <selection activeCell="J26" sqref="J26"/>
    </sheetView>
  </sheetViews>
  <sheetFormatPr defaultColWidth="9" defaultRowHeight="16.2"/>
  <cols>
    <col min="1" max="2" width="9.109375" style="93"/>
    <col min="3" max="3" width="9.44140625" style="93" customWidth="1"/>
    <col min="4" max="4" width="9.109375" style="93"/>
    <col min="5" max="5" width="9" style="93" customWidth="1"/>
    <col min="6" max="11" width="9.109375" style="93"/>
  </cols>
  <sheetData>
    <row r="1" spans="1:14" ht="14.4">
      <c r="A1"/>
      <c r="B1"/>
      <c r="C1"/>
      <c r="D1"/>
      <c r="E1"/>
      <c r="F1"/>
      <c r="G1"/>
      <c r="H1"/>
      <c r="I1"/>
      <c r="J1"/>
      <c r="K1"/>
    </row>
    <row r="2" spans="1:14">
      <c r="A2" s="94"/>
      <c r="B2" s="94"/>
      <c r="C2" s="94"/>
      <c r="D2" s="94"/>
      <c r="E2" s="94"/>
      <c r="F2" s="94"/>
      <c r="G2" s="94"/>
      <c r="H2" s="94"/>
      <c r="I2" s="94"/>
    </row>
    <row r="3" spans="1:14" ht="19.8">
      <c r="F3" s="1162"/>
      <c r="G3" s="1162"/>
      <c r="H3" s="1162"/>
    </row>
    <row r="9" spans="1:14" ht="19.8">
      <c r="A9" s="1163" t="s">
        <v>381</v>
      </c>
      <c r="B9" s="1163"/>
      <c r="C9" s="1163"/>
      <c r="D9" s="1163"/>
      <c r="E9" s="1163"/>
      <c r="F9" s="1163"/>
      <c r="G9" s="1163"/>
      <c r="H9" s="1163"/>
      <c r="I9" s="1163"/>
      <c r="J9" s="1163"/>
      <c r="K9" s="1163"/>
      <c r="L9" s="1163"/>
      <c r="M9" s="1163"/>
      <c r="N9" s="1163"/>
    </row>
    <row r="11" spans="1:14" ht="19.8">
      <c r="A11" s="1162" t="s">
        <v>0</v>
      </c>
      <c r="B11" s="1162"/>
      <c r="C11" s="1162"/>
      <c r="D11" s="1162"/>
      <c r="E11" s="1162"/>
      <c r="F11" s="1162"/>
      <c r="G11" s="1162"/>
      <c r="H11" s="1162"/>
      <c r="I11" s="1162"/>
      <c r="J11" s="1162"/>
      <c r="K11" s="1162"/>
      <c r="L11" s="1162"/>
      <c r="M11" s="1162"/>
      <c r="N11" s="1162"/>
    </row>
    <row r="12" spans="1:14" ht="14.4">
      <c r="A12"/>
      <c r="B12"/>
      <c r="C12"/>
      <c r="D12"/>
      <c r="E12"/>
      <c r="F12"/>
      <c r="G12"/>
      <c r="H12"/>
      <c r="I12"/>
      <c r="J12"/>
      <c r="K12"/>
    </row>
    <row r="13" spans="1:14" ht="14.4">
      <c r="A13"/>
      <c r="B13"/>
      <c r="C13"/>
      <c r="D13"/>
      <c r="E13"/>
      <c r="F13"/>
      <c r="G13"/>
      <c r="H13"/>
      <c r="I13"/>
      <c r="J13"/>
      <c r="K13"/>
    </row>
    <row r="14" spans="1:14" ht="14.4">
      <c r="A14"/>
      <c r="B14"/>
      <c r="C14"/>
      <c r="D14"/>
      <c r="E14"/>
      <c r="F14"/>
      <c r="G14"/>
      <c r="H14"/>
      <c r="I14"/>
      <c r="J14"/>
      <c r="K14"/>
    </row>
    <row r="20" spans="1:17">
      <c r="E20" s="1165" t="s">
        <v>1</v>
      </c>
      <c r="F20" s="1165"/>
      <c r="G20" s="1165"/>
      <c r="H20" s="1165"/>
      <c r="I20" s="1165"/>
      <c r="J20" s="1165"/>
      <c r="K20" s="1166">
        <f>'კრებს-4'!H23</f>
        <v>102431.34077272545</v>
      </c>
      <c r="L20" s="1164"/>
      <c r="M20" s="93" t="s">
        <v>2</v>
      </c>
      <c r="N20" s="93"/>
      <c r="O20" s="93"/>
      <c r="P20" s="93"/>
      <c r="Q20" s="93"/>
    </row>
    <row r="24" spans="1:17">
      <c r="C24" s="93" t="s">
        <v>3</v>
      </c>
      <c r="J24" s="93" t="s">
        <v>4</v>
      </c>
    </row>
    <row r="28" spans="1:17">
      <c r="A28" s="1164" t="s">
        <v>158</v>
      </c>
      <c r="B28" s="1164"/>
      <c r="C28" s="1164"/>
      <c r="D28" s="1164"/>
      <c r="E28" s="1164"/>
      <c r="F28" s="1164"/>
      <c r="G28" s="1164"/>
      <c r="H28" s="1164"/>
      <c r="I28" s="1164"/>
      <c r="J28" s="1164"/>
      <c r="K28" s="1164"/>
      <c r="L28" s="1164"/>
      <c r="M28" s="1164"/>
      <c r="N28" s="1164"/>
    </row>
    <row r="29" spans="1:17" ht="14.4">
      <c r="A29"/>
      <c r="B29"/>
      <c r="C29"/>
      <c r="D29"/>
      <c r="E29"/>
      <c r="F29"/>
      <c r="G29"/>
      <c r="H29"/>
      <c r="I29"/>
      <c r="J29"/>
      <c r="K29"/>
    </row>
  </sheetData>
  <mergeCells count="6">
    <mergeCell ref="A28:N28"/>
    <mergeCell ref="F3:H3"/>
    <mergeCell ref="A9:N9"/>
    <mergeCell ref="A11:N11"/>
    <mergeCell ref="E20:J20"/>
    <mergeCell ref="K20:L20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2"/>
  <sheetViews>
    <sheetView topLeftCell="A7" zoomScaleNormal="100" zoomScaleSheetLayoutView="100" workbookViewId="0">
      <selection activeCell="G16" sqref="G16"/>
    </sheetView>
  </sheetViews>
  <sheetFormatPr defaultColWidth="9" defaultRowHeight="16.2"/>
  <cols>
    <col min="1" max="7" width="9.109375" style="85"/>
    <col min="8" max="8" width="14.33203125" style="85" customWidth="1"/>
    <col min="9" max="9" width="9.109375" style="85"/>
    <col min="10" max="10" width="9.44140625" style="85" customWidth="1"/>
    <col min="11" max="11" width="9.109375" style="85"/>
    <col min="12" max="12" width="13.44140625" style="85" customWidth="1"/>
    <col min="13" max="13" width="11.6640625" style="85" customWidth="1"/>
    <col min="14" max="14" width="9.109375" style="85"/>
  </cols>
  <sheetData>
    <row r="1" spans="1:14" ht="17.399999999999999">
      <c r="A1" s="1167" t="s">
        <v>377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89"/>
    </row>
    <row r="3" spans="1:14" ht="19.8">
      <c r="A3" s="1168" t="s">
        <v>5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90"/>
    </row>
    <row r="4" spans="1:14" ht="19.8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7.399999999999999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>
      <c r="A6" s="1169" t="s">
        <v>6</v>
      </c>
      <c r="B6" s="1169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</row>
    <row r="7" spans="1:14" ht="122.25" customHeight="1">
      <c r="A7" s="1170" t="s">
        <v>160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</row>
    <row r="8" spans="1:14" ht="42" customHeight="1">
      <c r="A8" s="1171" t="s">
        <v>7</v>
      </c>
      <c r="B8" s="1171"/>
      <c r="C8" s="1171"/>
      <c r="D8" s="1171"/>
      <c r="E8" s="1171"/>
      <c r="F8" s="1171"/>
      <c r="G8" s="1171"/>
      <c r="H8" s="88">
        <f>'კრებს-4'!H23</f>
        <v>102431.34077272545</v>
      </c>
      <c r="I8" s="1171" t="s">
        <v>8</v>
      </c>
      <c r="J8" s="1171"/>
      <c r="K8" s="1171"/>
      <c r="L8" s="88">
        <f>H8/1.18*0.18</f>
        <v>15625.119778890323</v>
      </c>
      <c r="M8" s="85" t="s">
        <v>9</v>
      </c>
    </row>
    <row r="9" spans="1:14" ht="55.5" customHeight="1">
      <c r="A9" s="1170" t="s">
        <v>10</v>
      </c>
      <c r="B9" s="1170"/>
      <c r="C9" s="1170"/>
      <c r="D9" s="1170"/>
      <c r="E9" s="1170"/>
      <c r="F9" s="1170"/>
      <c r="G9" s="1170"/>
      <c r="H9" s="1170"/>
      <c r="I9" s="1170"/>
      <c r="J9" s="1170"/>
      <c r="K9" s="1170"/>
      <c r="L9" s="1170"/>
      <c r="M9" s="1170"/>
      <c r="N9" s="1170"/>
    </row>
    <row r="10" spans="1:14" ht="29.25" customHeight="1">
      <c r="A10" s="1169"/>
      <c r="B10" s="1169"/>
      <c r="C10" s="1169"/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</row>
    <row r="11" spans="1:14">
      <c r="A11" s="1172"/>
      <c r="B11" s="1172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91"/>
    </row>
    <row r="12" spans="1:14" ht="27" customHeight="1">
      <c r="A12" s="1173" t="s">
        <v>11</v>
      </c>
      <c r="B12" s="1173"/>
      <c r="H12" s="1171" t="s">
        <v>12</v>
      </c>
      <c r="I12" s="1171"/>
      <c r="J12" s="1171"/>
      <c r="K12" s="1171"/>
      <c r="L12" s="1171"/>
    </row>
    <row r="22" spans="10:10">
      <c r="J22" s="92"/>
    </row>
  </sheetData>
  <mergeCells count="11">
    <mergeCell ref="A9:N9"/>
    <mergeCell ref="A10:N10"/>
    <mergeCell ref="A11:M11"/>
    <mergeCell ref="A12:B12"/>
    <mergeCell ref="H12:L12"/>
    <mergeCell ref="A1:M1"/>
    <mergeCell ref="A3:M3"/>
    <mergeCell ref="A6:N6"/>
    <mergeCell ref="A7:M7"/>
    <mergeCell ref="A8:G8"/>
    <mergeCell ref="I8:K8"/>
  </mergeCells>
  <printOptions horizontalCentered="1"/>
  <pageMargins left="0.20866141699999999" right="0.20866141699999999" top="0.24803149599999999" bottom="0.24803149599999999" header="0.31496062992126" footer="0.3149606299212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6"/>
  <sheetViews>
    <sheetView topLeftCell="A4" zoomScaleNormal="100" zoomScaleSheetLayoutView="100" workbookViewId="0">
      <selection activeCell="C5" sqref="C5"/>
    </sheetView>
  </sheetViews>
  <sheetFormatPr defaultColWidth="9" defaultRowHeight="15"/>
  <cols>
    <col min="1" max="1" width="10.44140625" style="22" customWidth="1"/>
    <col min="2" max="2" width="14.33203125" style="305" customWidth="1"/>
    <col min="3" max="3" width="42.6640625" style="23" customWidth="1"/>
    <col min="4" max="4" width="12.88671875" style="22" customWidth="1"/>
    <col min="5" max="5" width="11.6640625" style="23" customWidth="1"/>
    <col min="6" max="6" width="13.109375" style="23" customWidth="1"/>
    <col min="7" max="7" width="12" style="23" customWidth="1"/>
    <col min="8" max="8" width="12.88671875" style="22" customWidth="1"/>
    <col min="9" max="245" width="9" style="24"/>
    <col min="246" max="246" width="7.6640625" style="24" customWidth="1"/>
    <col min="247" max="247" width="12.5546875" style="24" customWidth="1"/>
    <col min="248" max="248" width="41.44140625" style="24" customWidth="1"/>
    <col min="249" max="249" width="13.6640625" style="24" customWidth="1"/>
    <col min="250" max="250" width="13.5546875" style="24" customWidth="1"/>
    <col min="251" max="251" width="13" style="24" customWidth="1"/>
    <col min="252" max="252" width="12.109375" style="24" customWidth="1"/>
    <col min="253" max="253" width="12.33203125" style="24" customWidth="1"/>
    <col min="254" max="501" width="9" style="24"/>
    <col min="502" max="502" width="7.6640625" style="24" customWidth="1"/>
    <col min="503" max="503" width="12.5546875" style="24" customWidth="1"/>
    <col min="504" max="504" width="41.44140625" style="24" customWidth="1"/>
    <col min="505" max="505" width="13.6640625" style="24" customWidth="1"/>
    <col min="506" max="506" width="13.5546875" style="24" customWidth="1"/>
    <col min="507" max="507" width="13" style="24" customWidth="1"/>
    <col min="508" max="508" width="12.109375" style="24" customWidth="1"/>
    <col min="509" max="509" width="12.33203125" style="24" customWidth="1"/>
    <col min="510" max="757" width="9" style="24"/>
    <col min="758" max="758" width="7.6640625" style="24" customWidth="1"/>
    <col min="759" max="759" width="12.5546875" style="24" customWidth="1"/>
    <col min="760" max="760" width="41.44140625" style="24" customWidth="1"/>
    <col min="761" max="761" width="13.6640625" style="24" customWidth="1"/>
    <col min="762" max="762" width="13.5546875" style="24" customWidth="1"/>
    <col min="763" max="763" width="13" style="24" customWidth="1"/>
    <col min="764" max="764" width="12.109375" style="24" customWidth="1"/>
    <col min="765" max="765" width="12.33203125" style="24" customWidth="1"/>
    <col min="766" max="1013" width="9" style="24"/>
    <col min="1014" max="1014" width="7.6640625" style="24" customWidth="1"/>
    <col min="1015" max="1015" width="12.5546875" style="24" customWidth="1"/>
    <col min="1016" max="1016" width="41.44140625" style="24" customWidth="1"/>
    <col min="1017" max="1017" width="13.6640625" style="24" customWidth="1"/>
    <col min="1018" max="1018" width="13.5546875" style="24" customWidth="1"/>
    <col min="1019" max="1019" width="13" style="24" customWidth="1"/>
    <col min="1020" max="1020" width="12.109375" style="24" customWidth="1"/>
    <col min="1021" max="1021" width="12.33203125" style="24" customWidth="1"/>
    <col min="1022" max="1269" width="9" style="24"/>
    <col min="1270" max="1270" width="7.6640625" style="24" customWidth="1"/>
    <col min="1271" max="1271" width="12.5546875" style="24" customWidth="1"/>
    <col min="1272" max="1272" width="41.44140625" style="24" customWidth="1"/>
    <col min="1273" max="1273" width="13.6640625" style="24" customWidth="1"/>
    <col min="1274" max="1274" width="13.5546875" style="24" customWidth="1"/>
    <col min="1275" max="1275" width="13" style="24" customWidth="1"/>
    <col min="1276" max="1276" width="12.109375" style="24" customWidth="1"/>
    <col min="1277" max="1277" width="12.33203125" style="24" customWidth="1"/>
    <col min="1278" max="1525" width="9" style="24"/>
    <col min="1526" max="1526" width="7.6640625" style="24" customWidth="1"/>
    <col min="1527" max="1527" width="12.5546875" style="24" customWidth="1"/>
    <col min="1528" max="1528" width="41.44140625" style="24" customWidth="1"/>
    <col min="1529" max="1529" width="13.6640625" style="24" customWidth="1"/>
    <col min="1530" max="1530" width="13.5546875" style="24" customWidth="1"/>
    <col min="1531" max="1531" width="13" style="24" customWidth="1"/>
    <col min="1532" max="1532" width="12.109375" style="24" customWidth="1"/>
    <col min="1533" max="1533" width="12.33203125" style="24" customWidth="1"/>
    <col min="1534" max="1781" width="9" style="24"/>
    <col min="1782" max="1782" width="7.6640625" style="24" customWidth="1"/>
    <col min="1783" max="1783" width="12.5546875" style="24" customWidth="1"/>
    <col min="1784" max="1784" width="41.44140625" style="24" customWidth="1"/>
    <col min="1785" max="1785" width="13.6640625" style="24" customWidth="1"/>
    <col min="1786" max="1786" width="13.5546875" style="24" customWidth="1"/>
    <col min="1787" max="1787" width="13" style="24" customWidth="1"/>
    <col min="1788" max="1788" width="12.109375" style="24" customWidth="1"/>
    <col min="1789" max="1789" width="12.33203125" style="24" customWidth="1"/>
    <col min="1790" max="2037" width="9" style="24"/>
    <col min="2038" max="2038" width="7.6640625" style="24" customWidth="1"/>
    <col min="2039" max="2039" width="12.5546875" style="24" customWidth="1"/>
    <col min="2040" max="2040" width="41.44140625" style="24" customWidth="1"/>
    <col min="2041" max="2041" width="13.6640625" style="24" customWidth="1"/>
    <col min="2042" max="2042" width="13.5546875" style="24" customWidth="1"/>
    <col min="2043" max="2043" width="13" style="24" customWidth="1"/>
    <col min="2044" max="2044" width="12.109375" style="24" customWidth="1"/>
    <col min="2045" max="2045" width="12.33203125" style="24" customWidth="1"/>
    <col min="2046" max="2293" width="9" style="24"/>
    <col min="2294" max="2294" width="7.6640625" style="24" customWidth="1"/>
    <col min="2295" max="2295" width="12.5546875" style="24" customWidth="1"/>
    <col min="2296" max="2296" width="41.44140625" style="24" customWidth="1"/>
    <col min="2297" max="2297" width="13.6640625" style="24" customWidth="1"/>
    <col min="2298" max="2298" width="13.5546875" style="24" customWidth="1"/>
    <col min="2299" max="2299" width="13" style="24" customWidth="1"/>
    <col min="2300" max="2300" width="12.109375" style="24" customWidth="1"/>
    <col min="2301" max="2301" width="12.33203125" style="24" customWidth="1"/>
    <col min="2302" max="2549" width="9" style="24"/>
    <col min="2550" max="2550" width="7.6640625" style="24" customWidth="1"/>
    <col min="2551" max="2551" width="12.5546875" style="24" customWidth="1"/>
    <col min="2552" max="2552" width="41.44140625" style="24" customWidth="1"/>
    <col min="2553" max="2553" width="13.6640625" style="24" customWidth="1"/>
    <col min="2554" max="2554" width="13.5546875" style="24" customWidth="1"/>
    <col min="2555" max="2555" width="13" style="24" customWidth="1"/>
    <col min="2556" max="2556" width="12.109375" style="24" customWidth="1"/>
    <col min="2557" max="2557" width="12.33203125" style="24" customWidth="1"/>
    <col min="2558" max="2805" width="9" style="24"/>
    <col min="2806" max="2806" width="7.6640625" style="24" customWidth="1"/>
    <col min="2807" max="2807" width="12.5546875" style="24" customWidth="1"/>
    <col min="2808" max="2808" width="41.44140625" style="24" customWidth="1"/>
    <col min="2809" max="2809" width="13.6640625" style="24" customWidth="1"/>
    <col min="2810" max="2810" width="13.5546875" style="24" customWidth="1"/>
    <col min="2811" max="2811" width="13" style="24" customWidth="1"/>
    <col min="2812" max="2812" width="12.109375" style="24" customWidth="1"/>
    <col min="2813" max="2813" width="12.33203125" style="24" customWidth="1"/>
    <col min="2814" max="3061" width="9" style="24"/>
    <col min="3062" max="3062" width="7.6640625" style="24" customWidth="1"/>
    <col min="3063" max="3063" width="12.5546875" style="24" customWidth="1"/>
    <col min="3064" max="3064" width="41.44140625" style="24" customWidth="1"/>
    <col min="3065" max="3065" width="13.6640625" style="24" customWidth="1"/>
    <col min="3066" max="3066" width="13.5546875" style="24" customWidth="1"/>
    <col min="3067" max="3067" width="13" style="24" customWidth="1"/>
    <col min="3068" max="3068" width="12.109375" style="24" customWidth="1"/>
    <col min="3069" max="3069" width="12.33203125" style="24" customWidth="1"/>
    <col min="3070" max="3317" width="9" style="24"/>
    <col min="3318" max="3318" width="7.6640625" style="24" customWidth="1"/>
    <col min="3319" max="3319" width="12.5546875" style="24" customWidth="1"/>
    <col min="3320" max="3320" width="41.44140625" style="24" customWidth="1"/>
    <col min="3321" max="3321" width="13.6640625" style="24" customWidth="1"/>
    <col min="3322" max="3322" width="13.5546875" style="24" customWidth="1"/>
    <col min="3323" max="3323" width="13" style="24" customWidth="1"/>
    <col min="3324" max="3324" width="12.109375" style="24" customWidth="1"/>
    <col min="3325" max="3325" width="12.33203125" style="24" customWidth="1"/>
    <col min="3326" max="3573" width="9" style="24"/>
    <col min="3574" max="3574" width="7.6640625" style="24" customWidth="1"/>
    <col min="3575" max="3575" width="12.5546875" style="24" customWidth="1"/>
    <col min="3576" max="3576" width="41.44140625" style="24" customWidth="1"/>
    <col min="3577" max="3577" width="13.6640625" style="24" customWidth="1"/>
    <col min="3578" max="3578" width="13.5546875" style="24" customWidth="1"/>
    <col min="3579" max="3579" width="13" style="24" customWidth="1"/>
    <col min="3580" max="3580" width="12.109375" style="24" customWidth="1"/>
    <col min="3581" max="3581" width="12.33203125" style="24" customWidth="1"/>
    <col min="3582" max="3829" width="9" style="24"/>
    <col min="3830" max="3830" width="7.6640625" style="24" customWidth="1"/>
    <col min="3831" max="3831" width="12.5546875" style="24" customWidth="1"/>
    <col min="3832" max="3832" width="41.44140625" style="24" customWidth="1"/>
    <col min="3833" max="3833" width="13.6640625" style="24" customWidth="1"/>
    <col min="3834" max="3834" width="13.5546875" style="24" customWidth="1"/>
    <col min="3835" max="3835" width="13" style="24" customWidth="1"/>
    <col min="3836" max="3836" width="12.109375" style="24" customWidth="1"/>
    <col min="3837" max="3837" width="12.33203125" style="24" customWidth="1"/>
    <col min="3838" max="4085" width="9" style="24"/>
    <col min="4086" max="4086" width="7.6640625" style="24" customWidth="1"/>
    <col min="4087" max="4087" width="12.5546875" style="24" customWidth="1"/>
    <col min="4088" max="4088" width="41.44140625" style="24" customWidth="1"/>
    <col min="4089" max="4089" width="13.6640625" style="24" customWidth="1"/>
    <col min="4090" max="4090" width="13.5546875" style="24" customWidth="1"/>
    <col min="4091" max="4091" width="13" style="24" customWidth="1"/>
    <col min="4092" max="4092" width="12.109375" style="24" customWidth="1"/>
    <col min="4093" max="4093" width="12.33203125" style="24" customWidth="1"/>
    <col min="4094" max="4341" width="9" style="24"/>
    <col min="4342" max="4342" width="7.6640625" style="24" customWidth="1"/>
    <col min="4343" max="4343" width="12.5546875" style="24" customWidth="1"/>
    <col min="4344" max="4344" width="41.44140625" style="24" customWidth="1"/>
    <col min="4345" max="4345" width="13.6640625" style="24" customWidth="1"/>
    <col min="4346" max="4346" width="13.5546875" style="24" customWidth="1"/>
    <col min="4347" max="4347" width="13" style="24" customWidth="1"/>
    <col min="4348" max="4348" width="12.109375" style="24" customWidth="1"/>
    <col min="4349" max="4349" width="12.33203125" style="24" customWidth="1"/>
    <col min="4350" max="4597" width="9" style="24"/>
    <col min="4598" max="4598" width="7.6640625" style="24" customWidth="1"/>
    <col min="4599" max="4599" width="12.5546875" style="24" customWidth="1"/>
    <col min="4600" max="4600" width="41.44140625" style="24" customWidth="1"/>
    <col min="4601" max="4601" width="13.6640625" style="24" customWidth="1"/>
    <col min="4602" max="4602" width="13.5546875" style="24" customWidth="1"/>
    <col min="4603" max="4603" width="13" style="24" customWidth="1"/>
    <col min="4604" max="4604" width="12.109375" style="24" customWidth="1"/>
    <col min="4605" max="4605" width="12.33203125" style="24" customWidth="1"/>
    <col min="4606" max="4853" width="9" style="24"/>
    <col min="4854" max="4854" width="7.6640625" style="24" customWidth="1"/>
    <col min="4855" max="4855" width="12.5546875" style="24" customWidth="1"/>
    <col min="4856" max="4856" width="41.44140625" style="24" customWidth="1"/>
    <col min="4857" max="4857" width="13.6640625" style="24" customWidth="1"/>
    <col min="4858" max="4858" width="13.5546875" style="24" customWidth="1"/>
    <col min="4859" max="4859" width="13" style="24" customWidth="1"/>
    <col min="4860" max="4860" width="12.109375" style="24" customWidth="1"/>
    <col min="4861" max="4861" width="12.33203125" style="24" customWidth="1"/>
    <col min="4862" max="5109" width="9" style="24"/>
    <col min="5110" max="5110" width="7.6640625" style="24" customWidth="1"/>
    <col min="5111" max="5111" width="12.5546875" style="24" customWidth="1"/>
    <col min="5112" max="5112" width="41.44140625" style="24" customWidth="1"/>
    <col min="5113" max="5113" width="13.6640625" style="24" customWidth="1"/>
    <col min="5114" max="5114" width="13.5546875" style="24" customWidth="1"/>
    <col min="5115" max="5115" width="13" style="24" customWidth="1"/>
    <col min="5116" max="5116" width="12.109375" style="24" customWidth="1"/>
    <col min="5117" max="5117" width="12.33203125" style="24" customWidth="1"/>
    <col min="5118" max="5365" width="9" style="24"/>
    <col min="5366" max="5366" width="7.6640625" style="24" customWidth="1"/>
    <col min="5367" max="5367" width="12.5546875" style="24" customWidth="1"/>
    <col min="5368" max="5368" width="41.44140625" style="24" customWidth="1"/>
    <col min="5369" max="5369" width="13.6640625" style="24" customWidth="1"/>
    <col min="5370" max="5370" width="13.5546875" style="24" customWidth="1"/>
    <col min="5371" max="5371" width="13" style="24" customWidth="1"/>
    <col min="5372" max="5372" width="12.109375" style="24" customWidth="1"/>
    <col min="5373" max="5373" width="12.33203125" style="24" customWidth="1"/>
    <col min="5374" max="5621" width="9" style="24"/>
    <col min="5622" max="5622" width="7.6640625" style="24" customWidth="1"/>
    <col min="5623" max="5623" width="12.5546875" style="24" customWidth="1"/>
    <col min="5624" max="5624" width="41.44140625" style="24" customWidth="1"/>
    <col min="5625" max="5625" width="13.6640625" style="24" customWidth="1"/>
    <col min="5626" max="5626" width="13.5546875" style="24" customWidth="1"/>
    <col min="5627" max="5627" width="13" style="24" customWidth="1"/>
    <col min="5628" max="5628" width="12.109375" style="24" customWidth="1"/>
    <col min="5629" max="5629" width="12.33203125" style="24" customWidth="1"/>
    <col min="5630" max="5877" width="9" style="24"/>
    <col min="5878" max="5878" width="7.6640625" style="24" customWidth="1"/>
    <col min="5879" max="5879" width="12.5546875" style="24" customWidth="1"/>
    <col min="5880" max="5880" width="41.44140625" style="24" customWidth="1"/>
    <col min="5881" max="5881" width="13.6640625" style="24" customWidth="1"/>
    <col min="5882" max="5882" width="13.5546875" style="24" customWidth="1"/>
    <col min="5883" max="5883" width="13" style="24" customWidth="1"/>
    <col min="5884" max="5884" width="12.109375" style="24" customWidth="1"/>
    <col min="5885" max="5885" width="12.33203125" style="24" customWidth="1"/>
    <col min="5886" max="6133" width="9" style="24"/>
    <col min="6134" max="6134" width="7.6640625" style="24" customWidth="1"/>
    <col min="6135" max="6135" width="12.5546875" style="24" customWidth="1"/>
    <col min="6136" max="6136" width="41.44140625" style="24" customWidth="1"/>
    <col min="6137" max="6137" width="13.6640625" style="24" customWidth="1"/>
    <col min="6138" max="6138" width="13.5546875" style="24" customWidth="1"/>
    <col min="6139" max="6139" width="13" style="24" customWidth="1"/>
    <col min="6140" max="6140" width="12.109375" style="24" customWidth="1"/>
    <col min="6141" max="6141" width="12.33203125" style="24" customWidth="1"/>
    <col min="6142" max="6389" width="9" style="24"/>
    <col min="6390" max="6390" width="7.6640625" style="24" customWidth="1"/>
    <col min="6391" max="6391" width="12.5546875" style="24" customWidth="1"/>
    <col min="6392" max="6392" width="41.44140625" style="24" customWidth="1"/>
    <col min="6393" max="6393" width="13.6640625" style="24" customWidth="1"/>
    <col min="6394" max="6394" width="13.5546875" style="24" customWidth="1"/>
    <col min="6395" max="6395" width="13" style="24" customWidth="1"/>
    <col min="6396" max="6396" width="12.109375" style="24" customWidth="1"/>
    <col min="6397" max="6397" width="12.33203125" style="24" customWidth="1"/>
    <col min="6398" max="6645" width="9" style="24"/>
    <col min="6646" max="6646" width="7.6640625" style="24" customWidth="1"/>
    <col min="6647" max="6647" width="12.5546875" style="24" customWidth="1"/>
    <col min="6648" max="6648" width="41.44140625" style="24" customWidth="1"/>
    <col min="6649" max="6649" width="13.6640625" style="24" customWidth="1"/>
    <col min="6650" max="6650" width="13.5546875" style="24" customWidth="1"/>
    <col min="6651" max="6651" width="13" style="24" customWidth="1"/>
    <col min="6652" max="6652" width="12.109375" style="24" customWidth="1"/>
    <col min="6653" max="6653" width="12.33203125" style="24" customWidth="1"/>
    <col min="6654" max="6901" width="9" style="24"/>
    <col min="6902" max="6902" width="7.6640625" style="24" customWidth="1"/>
    <col min="6903" max="6903" width="12.5546875" style="24" customWidth="1"/>
    <col min="6904" max="6904" width="41.44140625" style="24" customWidth="1"/>
    <col min="6905" max="6905" width="13.6640625" style="24" customWidth="1"/>
    <col min="6906" max="6906" width="13.5546875" style="24" customWidth="1"/>
    <col min="6907" max="6907" width="13" style="24" customWidth="1"/>
    <col min="6908" max="6908" width="12.109375" style="24" customWidth="1"/>
    <col min="6909" max="6909" width="12.33203125" style="24" customWidth="1"/>
    <col min="6910" max="7157" width="9" style="24"/>
    <col min="7158" max="7158" width="7.6640625" style="24" customWidth="1"/>
    <col min="7159" max="7159" width="12.5546875" style="24" customWidth="1"/>
    <col min="7160" max="7160" width="41.44140625" style="24" customWidth="1"/>
    <col min="7161" max="7161" width="13.6640625" style="24" customWidth="1"/>
    <col min="7162" max="7162" width="13.5546875" style="24" customWidth="1"/>
    <col min="7163" max="7163" width="13" style="24" customWidth="1"/>
    <col min="7164" max="7164" width="12.109375" style="24" customWidth="1"/>
    <col min="7165" max="7165" width="12.33203125" style="24" customWidth="1"/>
    <col min="7166" max="7413" width="9" style="24"/>
    <col min="7414" max="7414" width="7.6640625" style="24" customWidth="1"/>
    <col min="7415" max="7415" width="12.5546875" style="24" customWidth="1"/>
    <col min="7416" max="7416" width="41.44140625" style="24" customWidth="1"/>
    <col min="7417" max="7417" width="13.6640625" style="24" customWidth="1"/>
    <col min="7418" max="7418" width="13.5546875" style="24" customWidth="1"/>
    <col min="7419" max="7419" width="13" style="24" customWidth="1"/>
    <col min="7420" max="7420" width="12.109375" style="24" customWidth="1"/>
    <col min="7421" max="7421" width="12.33203125" style="24" customWidth="1"/>
    <col min="7422" max="7669" width="9" style="24"/>
    <col min="7670" max="7670" width="7.6640625" style="24" customWidth="1"/>
    <col min="7671" max="7671" width="12.5546875" style="24" customWidth="1"/>
    <col min="7672" max="7672" width="41.44140625" style="24" customWidth="1"/>
    <col min="7673" max="7673" width="13.6640625" style="24" customWidth="1"/>
    <col min="7674" max="7674" width="13.5546875" style="24" customWidth="1"/>
    <col min="7675" max="7675" width="13" style="24" customWidth="1"/>
    <col min="7676" max="7676" width="12.109375" style="24" customWidth="1"/>
    <col min="7677" max="7677" width="12.33203125" style="24" customWidth="1"/>
    <col min="7678" max="7925" width="9" style="24"/>
    <col min="7926" max="7926" width="7.6640625" style="24" customWidth="1"/>
    <col min="7927" max="7927" width="12.5546875" style="24" customWidth="1"/>
    <col min="7928" max="7928" width="41.44140625" style="24" customWidth="1"/>
    <col min="7929" max="7929" width="13.6640625" style="24" customWidth="1"/>
    <col min="7930" max="7930" width="13.5546875" style="24" customWidth="1"/>
    <col min="7931" max="7931" width="13" style="24" customWidth="1"/>
    <col min="7932" max="7932" width="12.109375" style="24" customWidth="1"/>
    <col min="7933" max="7933" width="12.33203125" style="24" customWidth="1"/>
    <col min="7934" max="8181" width="9" style="24"/>
    <col min="8182" max="8182" width="7.6640625" style="24" customWidth="1"/>
    <col min="8183" max="8183" width="12.5546875" style="24" customWidth="1"/>
    <col min="8184" max="8184" width="41.44140625" style="24" customWidth="1"/>
    <col min="8185" max="8185" width="13.6640625" style="24" customWidth="1"/>
    <col min="8186" max="8186" width="13.5546875" style="24" customWidth="1"/>
    <col min="8187" max="8187" width="13" style="24" customWidth="1"/>
    <col min="8188" max="8188" width="12.109375" style="24" customWidth="1"/>
    <col min="8189" max="8189" width="12.33203125" style="24" customWidth="1"/>
    <col min="8190" max="8437" width="9" style="24"/>
    <col min="8438" max="8438" width="7.6640625" style="24" customWidth="1"/>
    <col min="8439" max="8439" width="12.5546875" style="24" customWidth="1"/>
    <col min="8440" max="8440" width="41.44140625" style="24" customWidth="1"/>
    <col min="8441" max="8441" width="13.6640625" style="24" customWidth="1"/>
    <col min="8442" max="8442" width="13.5546875" style="24" customWidth="1"/>
    <col min="8443" max="8443" width="13" style="24" customWidth="1"/>
    <col min="8444" max="8444" width="12.109375" style="24" customWidth="1"/>
    <col min="8445" max="8445" width="12.33203125" style="24" customWidth="1"/>
    <col min="8446" max="8693" width="9" style="24"/>
    <col min="8694" max="8694" width="7.6640625" style="24" customWidth="1"/>
    <col min="8695" max="8695" width="12.5546875" style="24" customWidth="1"/>
    <col min="8696" max="8696" width="41.44140625" style="24" customWidth="1"/>
    <col min="8697" max="8697" width="13.6640625" style="24" customWidth="1"/>
    <col min="8698" max="8698" width="13.5546875" style="24" customWidth="1"/>
    <col min="8699" max="8699" width="13" style="24" customWidth="1"/>
    <col min="8700" max="8700" width="12.109375" style="24" customWidth="1"/>
    <col min="8701" max="8701" width="12.33203125" style="24" customWidth="1"/>
    <col min="8702" max="8949" width="9" style="24"/>
    <col min="8950" max="8950" width="7.6640625" style="24" customWidth="1"/>
    <col min="8951" max="8951" width="12.5546875" style="24" customWidth="1"/>
    <col min="8952" max="8952" width="41.44140625" style="24" customWidth="1"/>
    <col min="8953" max="8953" width="13.6640625" style="24" customWidth="1"/>
    <col min="8954" max="8954" width="13.5546875" style="24" customWidth="1"/>
    <col min="8955" max="8955" width="13" style="24" customWidth="1"/>
    <col min="8956" max="8956" width="12.109375" style="24" customWidth="1"/>
    <col min="8957" max="8957" width="12.33203125" style="24" customWidth="1"/>
    <col min="8958" max="9205" width="9" style="24"/>
    <col min="9206" max="9206" width="7.6640625" style="24" customWidth="1"/>
    <col min="9207" max="9207" width="12.5546875" style="24" customWidth="1"/>
    <col min="9208" max="9208" width="41.44140625" style="24" customWidth="1"/>
    <col min="9209" max="9209" width="13.6640625" style="24" customWidth="1"/>
    <col min="9210" max="9210" width="13.5546875" style="24" customWidth="1"/>
    <col min="9211" max="9211" width="13" style="24" customWidth="1"/>
    <col min="9212" max="9212" width="12.109375" style="24" customWidth="1"/>
    <col min="9213" max="9213" width="12.33203125" style="24" customWidth="1"/>
    <col min="9214" max="9461" width="9" style="24"/>
    <col min="9462" max="9462" width="7.6640625" style="24" customWidth="1"/>
    <col min="9463" max="9463" width="12.5546875" style="24" customWidth="1"/>
    <col min="9464" max="9464" width="41.44140625" style="24" customWidth="1"/>
    <col min="9465" max="9465" width="13.6640625" style="24" customWidth="1"/>
    <col min="9466" max="9466" width="13.5546875" style="24" customWidth="1"/>
    <col min="9467" max="9467" width="13" style="24" customWidth="1"/>
    <col min="9468" max="9468" width="12.109375" style="24" customWidth="1"/>
    <col min="9469" max="9469" width="12.33203125" style="24" customWidth="1"/>
    <col min="9470" max="9717" width="9" style="24"/>
    <col min="9718" max="9718" width="7.6640625" style="24" customWidth="1"/>
    <col min="9719" max="9719" width="12.5546875" style="24" customWidth="1"/>
    <col min="9720" max="9720" width="41.44140625" style="24" customWidth="1"/>
    <col min="9721" max="9721" width="13.6640625" style="24" customWidth="1"/>
    <col min="9722" max="9722" width="13.5546875" style="24" customWidth="1"/>
    <col min="9723" max="9723" width="13" style="24" customWidth="1"/>
    <col min="9724" max="9724" width="12.109375" style="24" customWidth="1"/>
    <col min="9725" max="9725" width="12.33203125" style="24" customWidth="1"/>
    <col min="9726" max="9973" width="9" style="24"/>
    <col min="9974" max="9974" width="7.6640625" style="24" customWidth="1"/>
    <col min="9975" max="9975" width="12.5546875" style="24" customWidth="1"/>
    <col min="9976" max="9976" width="41.44140625" style="24" customWidth="1"/>
    <col min="9977" max="9977" width="13.6640625" style="24" customWidth="1"/>
    <col min="9978" max="9978" width="13.5546875" style="24" customWidth="1"/>
    <col min="9979" max="9979" width="13" style="24" customWidth="1"/>
    <col min="9980" max="9980" width="12.109375" style="24" customWidth="1"/>
    <col min="9981" max="9981" width="12.33203125" style="24" customWidth="1"/>
    <col min="9982" max="10229" width="9" style="24"/>
    <col min="10230" max="10230" width="7.6640625" style="24" customWidth="1"/>
    <col min="10231" max="10231" width="12.5546875" style="24" customWidth="1"/>
    <col min="10232" max="10232" width="41.44140625" style="24" customWidth="1"/>
    <col min="10233" max="10233" width="13.6640625" style="24" customWidth="1"/>
    <col min="10234" max="10234" width="13.5546875" style="24" customWidth="1"/>
    <col min="10235" max="10235" width="13" style="24" customWidth="1"/>
    <col min="10236" max="10236" width="12.109375" style="24" customWidth="1"/>
    <col min="10237" max="10237" width="12.33203125" style="24" customWidth="1"/>
    <col min="10238" max="10485" width="9" style="24"/>
    <col min="10486" max="10486" width="7.6640625" style="24" customWidth="1"/>
    <col min="10487" max="10487" width="12.5546875" style="24" customWidth="1"/>
    <col min="10488" max="10488" width="41.44140625" style="24" customWidth="1"/>
    <col min="10489" max="10489" width="13.6640625" style="24" customWidth="1"/>
    <col min="10490" max="10490" width="13.5546875" style="24" customWidth="1"/>
    <col min="10491" max="10491" width="13" style="24" customWidth="1"/>
    <col min="10492" max="10492" width="12.109375" style="24" customWidth="1"/>
    <col min="10493" max="10493" width="12.33203125" style="24" customWidth="1"/>
    <col min="10494" max="10741" width="9" style="24"/>
    <col min="10742" max="10742" width="7.6640625" style="24" customWidth="1"/>
    <col min="10743" max="10743" width="12.5546875" style="24" customWidth="1"/>
    <col min="10744" max="10744" width="41.44140625" style="24" customWidth="1"/>
    <col min="10745" max="10745" width="13.6640625" style="24" customWidth="1"/>
    <col min="10746" max="10746" width="13.5546875" style="24" customWidth="1"/>
    <col min="10747" max="10747" width="13" style="24" customWidth="1"/>
    <col min="10748" max="10748" width="12.109375" style="24" customWidth="1"/>
    <col min="10749" max="10749" width="12.33203125" style="24" customWidth="1"/>
    <col min="10750" max="10997" width="9" style="24"/>
    <col min="10998" max="10998" width="7.6640625" style="24" customWidth="1"/>
    <col min="10999" max="10999" width="12.5546875" style="24" customWidth="1"/>
    <col min="11000" max="11000" width="41.44140625" style="24" customWidth="1"/>
    <col min="11001" max="11001" width="13.6640625" style="24" customWidth="1"/>
    <col min="11002" max="11002" width="13.5546875" style="24" customWidth="1"/>
    <col min="11003" max="11003" width="13" style="24" customWidth="1"/>
    <col min="11004" max="11004" width="12.109375" style="24" customWidth="1"/>
    <col min="11005" max="11005" width="12.33203125" style="24" customWidth="1"/>
    <col min="11006" max="11253" width="9" style="24"/>
    <col min="11254" max="11254" width="7.6640625" style="24" customWidth="1"/>
    <col min="11255" max="11255" width="12.5546875" style="24" customWidth="1"/>
    <col min="11256" max="11256" width="41.44140625" style="24" customWidth="1"/>
    <col min="11257" max="11257" width="13.6640625" style="24" customWidth="1"/>
    <col min="11258" max="11258" width="13.5546875" style="24" customWidth="1"/>
    <col min="11259" max="11259" width="13" style="24" customWidth="1"/>
    <col min="11260" max="11260" width="12.109375" style="24" customWidth="1"/>
    <col min="11261" max="11261" width="12.33203125" style="24" customWidth="1"/>
    <col min="11262" max="11509" width="9" style="24"/>
    <col min="11510" max="11510" width="7.6640625" style="24" customWidth="1"/>
    <col min="11511" max="11511" width="12.5546875" style="24" customWidth="1"/>
    <col min="11512" max="11512" width="41.44140625" style="24" customWidth="1"/>
    <col min="11513" max="11513" width="13.6640625" style="24" customWidth="1"/>
    <col min="11514" max="11514" width="13.5546875" style="24" customWidth="1"/>
    <col min="11515" max="11515" width="13" style="24" customWidth="1"/>
    <col min="11516" max="11516" width="12.109375" style="24" customWidth="1"/>
    <col min="11517" max="11517" width="12.33203125" style="24" customWidth="1"/>
    <col min="11518" max="11765" width="9" style="24"/>
    <col min="11766" max="11766" width="7.6640625" style="24" customWidth="1"/>
    <col min="11767" max="11767" width="12.5546875" style="24" customWidth="1"/>
    <col min="11768" max="11768" width="41.44140625" style="24" customWidth="1"/>
    <col min="11769" max="11769" width="13.6640625" style="24" customWidth="1"/>
    <col min="11770" max="11770" width="13.5546875" style="24" customWidth="1"/>
    <col min="11771" max="11771" width="13" style="24" customWidth="1"/>
    <col min="11772" max="11772" width="12.109375" style="24" customWidth="1"/>
    <col min="11773" max="11773" width="12.33203125" style="24" customWidth="1"/>
    <col min="11774" max="12021" width="9" style="24"/>
    <col min="12022" max="12022" width="7.6640625" style="24" customWidth="1"/>
    <col min="12023" max="12023" width="12.5546875" style="24" customWidth="1"/>
    <col min="12024" max="12024" width="41.44140625" style="24" customWidth="1"/>
    <col min="12025" max="12025" width="13.6640625" style="24" customWidth="1"/>
    <col min="12026" max="12026" width="13.5546875" style="24" customWidth="1"/>
    <col min="12027" max="12027" width="13" style="24" customWidth="1"/>
    <col min="12028" max="12028" width="12.109375" style="24" customWidth="1"/>
    <col min="12029" max="12029" width="12.33203125" style="24" customWidth="1"/>
    <col min="12030" max="12277" width="9" style="24"/>
    <col min="12278" max="12278" width="7.6640625" style="24" customWidth="1"/>
    <col min="12279" max="12279" width="12.5546875" style="24" customWidth="1"/>
    <col min="12280" max="12280" width="41.44140625" style="24" customWidth="1"/>
    <col min="12281" max="12281" width="13.6640625" style="24" customWidth="1"/>
    <col min="12282" max="12282" width="13.5546875" style="24" customWidth="1"/>
    <col min="12283" max="12283" width="13" style="24" customWidth="1"/>
    <col min="12284" max="12284" width="12.109375" style="24" customWidth="1"/>
    <col min="12285" max="12285" width="12.33203125" style="24" customWidth="1"/>
    <col min="12286" max="12533" width="9" style="24"/>
    <col min="12534" max="12534" width="7.6640625" style="24" customWidth="1"/>
    <col min="12535" max="12535" width="12.5546875" style="24" customWidth="1"/>
    <col min="12536" max="12536" width="41.44140625" style="24" customWidth="1"/>
    <col min="12537" max="12537" width="13.6640625" style="24" customWidth="1"/>
    <col min="12538" max="12538" width="13.5546875" style="24" customWidth="1"/>
    <col min="12539" max="12539" width="13" style="24" customWidth="1"/>
    <col min="12540" max="12540" width="12.109375" style="24" customWidth="1"/>
    <col min="12541" max="12541" width="12.33203125" style="24" customWidth="1"/>
    <col min="12542" max="12789" width="9" style="24"/>
    <col min="12790" max="12790" width="7.6640625" style="24" customWidth="1"/>
    <col min="12791" max="12791" width="12.5546875" style="24" customWidth="1"/>
    <col min="12792" max="12792" width="41.44140625" style="24" customWidth="1"/>
    <col min="12793" max="12793" width="13.6640625" style="24" customWidth="1"/>
    <col min="12794" max="12794" width="13.5546875" style="24" customWidth="1"/>
    <col min="12795" max="12795" width="13" style="24" customWidth="1"/>
    <col min="12796" max="12796" width="12.109375" style="24" customWidth="1"/>
    <col min="12797" max="12797" width="12.33203125" style="24" customWidth="1"/>
    <col min="12798" max="13045" width="9" style="24"/>
    <col min="13046" max="13046" width="7.6640625" style="24" customWidth="1"/>
    <col min="13047" max="13047" width="12.5546875" style="24" customWidth="1"/>
    <col min="13048" max="13048" width="41.44140625" style="24" customWidth="1"/>
    <col min="13049" max="13049" width="13.6640625" style="24" customWidth="1"/>
    <col min="13050" max="13050" width="13.5546875" style="24" customWidth="1"/>
    <col min="13051" max="13051" width="13" style="24" customWidth="1"/>
    <col min="13052" max="13052" width="12.109375" style="24" customWidth="1"/>
    <col min="13053" max="13053" width="12.33203125" style="24" customWidth="1"/>
    <col min="13054" max="13301" width="9" style="24"/>
    <col min="13302" max="13302" width="7.6640625" style="24" customWidth="1"/>
    <col min="13303" max="13303" width="12.5546875" style="24" customWidth="1"/>
    <col min="13304" max="13304" width="41.44140625" style="24" customWidth="1"/>
    <col min="13305" max="13305" width="13.6640625" style="24" customWidth="1"/>
    <col min="13306" max="13306" width="13.5546875" style="24" customWidth="1"/>
    <col min="13307" max="13307" width="13" style="24" customWidth="1"/>
    <col min="13308" max="13308" width="12.109375" style="24" customWidth="1"/>
    <col min="13309" max="13309" width="12.33203125" style="24" customWidth="1"/>
    <col min="13310" max="13557" width="9" style="24"/>
    <col min="13558" max="13558" width="7.6640625" style="24" customWidth="1"/>
    <col min="13559" max="13559" width="12.5546875" style="24" customWidth="1"/>
    <col min="13560" max="13560" width="41.44140625" style="24" customWidth="1"/>
    <col min="13561" max="13561" width="13.6640625" style="24" customWidth="1"/>
    <col min="13562" max="13562" width="13.5546875" style="24" customWidth="1"/>
    <col min="13563" max="13563" width="13" style="24" customWidth="1"/>
    <col min="13564" max="13564" width="12.109375" style="24" customWidth="1"/>
    <col min="13565" max="13565" width="12.33203125" style="24" customWidth="1"/>
    <col min="13566" max="13813" width="9" style="24"/>
    <col min="13814" max="13814" width="7.6640625" style="24" customWidth="1"/>
    <col min="13815" max="13815" width="12.5546875" style="24" customWidth="1"/>
    <col min="13816" max="13816" width="41.44140625" style="24" customWidth="1"/>
    <col min="13817" max="13817" width="13.6640625" style="24" customWidth="1"/>
    <col min="13818" max="13818" width="13.5546875" style="24" customWidth="1"/>
    <col min="13819" max="13819" width="13" style="24" customWidth="1"/>
    <col min="13820" max="13820" width="12.109375" style="24" customWidth="1"/>
    <col min="13821" max="13821" width="12.33203125" style="24" customWidth="1"/>
    <col min="13822" max="14069" width="9" style="24"/>
    <col min="14070" max="14070" width="7.6640625" style="24" customWidth="1"/>
    <col min="14071" max="14071" width="12.5546875" style="24" customWidth="1"/>
    <col min="14072" max="14072" width="41.44140625" style="24" customWidth="1"/>
    <col min="14073" max="14073" width="13.6640625" style="24" customWidth="1"/>
    <col min="14074" max="14074" width="13.5546875" style="24" customWidth="1"/>
    <col min="14075" max="14075" width="13" style="24" customWidth="1"/>
    <col min="14076" max="14076" width="12.109375" style="24" customWidth="1"/>
    <col min="14077" max="14077" width="12.33203125" style="24" customWidth="1"/>
    <col min="14078" max="14325" width="9" style="24"/>
    <col min="14326" max="14326" width="7.6640625" style="24" customWidth="1"/>
    <col min="14327" max="14327" width="12.5546875" style="24" customWidth="1"/>
    <col min="14328" max="14328" width="41.44140625" style="24" customWidth="1"/>
    <col min="14329" max="14329" width="13.6640625" style="24" customWidth="1"/>
    <col min="14330" max="14330" width="13.5546875" style="24" customWidth="1"/>
    <col min="14331" max="14331" width="13" style="24" customWidth="1"/>
    <col min="14332" max="14332" width="12.109375" style="24" customWidth="1"/>
    <col min="14333" max="14333" width="12.33203125" style="24" customWidth="1"/>
    <col min="14334" max="14581" width="9" style="24"/>
    <col min="14582" max="14582" width="7.6640625" style="24" customWidth="1"/>
    <col min="14583" max="14583" width="12.5546875" style="24" customWidth="1"/>
    <col min="14584" max="14584" width="41.44140625" style="24" customWidth="1"/>
    <col min="14585" max="14585" width="13.6640625" style="24" customWidth="1"/>
    <col min="14586" max="14586" width="13.5546875" style="24" customWidth="1"/>
    <col min="14587" max="14587" width="13" style="24" customWidth="1"/>
    <col min="14588" max="14588" width="12.109375" style="24" customWidth="1"/>
    <col min="14589" max="14589" width="12.33203125" style="24" customWidth="1"/>
    <col min="14590" max="14837" width="9" style="24"/>
    <col min="14838" max="14838" width="7.6640625" style="24" customWidth="1"/>
    <col min="14839" max="14839" width="12.5546875" style="24" customWidth="1"/>
    <col min="14840" max="14840" width="41.44140625" style="24" customWidth="1"/>
    <col min="14841" max="14841" width="13.6640625" style="24" customWidth="1"/>
    <col min="14842" max="14842" width="13.5546875" style="24" customWidth="1"/>
    <col min="14843" max="14843" width="13" style="24" customWidth="1"/>
    <col min="14844" max="14844" width="12.109375" style="24" customWidth="1"/>
    <col min="14845" max="14845" width="12.33203125" style="24" customWidth="1"/>
    <col min="14846" max="15093" width="9" style="24"/>
    <col min="15094" max="15094" width="7.6640625" style="24" customWidth="1"/>
    <col min="15095" max="15095" width="12.5546875" style="24" customWidth="1"/>
    <col min="15096" max="15096" width="41.44140625" style="24" customWidth="1"/>
    <col min="15097" max="15097" width="13.6640625" style="24" customWidth="1"/>
    <col min="15098" max="15098" width="13.5546875" style="24" customWidth="1"/>
    <col min="15099" max="15099" width="13" style="24" customWidth="1"/>
    <col min="15100" max="15100" width="12.109375" style="24" customWidth="1"/>
    <col min="15101" max="15101" width="12.33203125" style="24" customWidth="1"/>
    <col min="15102" max="15349" width="9" style="24"/>
    <col min="15350" max="15350" width="7.6640625" style="24" customWidth="1"/>
    <col min="15351" max="15351" width="12.5546875" style="24" customWidth="1"/>
    <col min="15352" max="15352" width="41.44140625" style="24" customWidth="1"/>
    <col min="15353" max="15353" width="13.6640625" style="24" customWidth="1"/>
    <col min="15354" max="15354" width="13.5546875" style="24" customWidth="1"/>
    <col min="15355" max="15355" width="13" style="24" customWidth="1"/>
    <col min="15356" max="15356" width="12.109375" style="24" customWidth="1"/>
    <col min="15357" max="15357" width="12.33203125" style="24" customWidth="1"/>
    <col min="15358" max="15605" width="9" style="24"/>
    <col min="15606" max="15606" width="7.6640625" style="24" customWidth="1"/>
    <col min="15607" max="15607" width="12.5546875" style="24" customWidth="1"/>
    <col min="15608" max="15608" width="41.44140625" style="24" customWidth="1"/>
    <col min="15609" max="15609" width="13.6640625" style="24" customWidth="1"/>
    <col min="15610" max="15610" width="13.5546875" style="24" customWidth="1"/>
    <col min="15611" max="15611" width="13" style="24" customWidth="1"/>
    <col min="15612" max="15612" width="12.109375" style="24" customWidth="1"/>
    <col min="15613" max="15613" width="12.33203125" style="24" customWidth="1"/>
    <col min="15614" max="15861" width="9" style="24"/>
    <col min="15862" max="15862" width="7.6640625" style="24" customWidth="1"/>
    <col min="15863" max="15863" width="12.5546875" style="24" customWidth="1"/>
    <col min="15864" max="15864" width="41.44140625" style="24" customWidth="1"/>
    <col min="15865" max="15865" width="13.6640625" style="24" customWidth="1"/>
    <col min="15866" max="15866" width="13.5546875" style="24" customWidth="1"/>
    <col min="15867" max="15867" width="13" style="24" customWidth="1"/>
    <col min="15868" max="15868" width="12.109375" style="24" customWidth="1"/>
    <col min="15869" max="15869" width="12.33203125" style="24" customWidth="1"/>
    <col min="15870" max="16117" width="9" style="24"/>
    <col min="16118" max="16118" width="7.6640625" style="24" customWidth="1"/>
    <col min="16119" max="16119" width="12.5546875" style="24" customWidth="1"/>
    <col min="16120" max="16120" width="41.44140625" style="24" customWidth="1"/>
    <col min="16121" max="16121" width="13.6640625" style="24" customWidth="1"/>
    <col min="16122" max="16122" width="13.5546875" style="24" customWidth="1"/>
    <col min="16123" max="16123" width="13" style="24" customWidth="1"/>
    <col min="16124" max="16124" width="12.109375" style="24" customWidth="1"/>
    <col min="16125" max="16125" width="12.33203125" style="24" customWidth="1"/>
    <col min="16126" max="16384" width="9" style="24"/>
  </cols>
  <sheetData>
    <row r="1" spans="1:13" ht="17.399999999999999">
      <c r="A1" s="1174" t="s">
        <v>159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</row>
    <row r="2" spans="1:13" s="20" customFormat="1" ht="16.5" customHeight="1">
      <c r="A2" s="1175" t="s">
        <v>340</v>
      </c>
      <c r="B2" s="1175"/>
      <c r="C2" s="1175"/>
      <c r="D2" s="1175"/>
      <c r="E2" s="25"/>
      <c r="F2" s="25"/>
      <c r="G2" s="25"/>
      <c r="H2" s="25"/>
    </row>
    <row r="3" spans="1:13" s="20" customFormat="1" ht="16.5" customHeight="1">
      <c r="A3" s="942"/>
      <c r="B3" s="942"/>
      <c r="C3" s="942"/>
      <c r="D3" s="942"/>
      <c r="E3" s="25"/>
      <c r="F3" s="25"/>
      <c r="G3" s="25"/>
      <c r="H3" s="25"/>
    </row>
    <row r="4" spans="1:13" ht="17.399999999999999">
      <c r="A4" s="1176" t="s">
        <v>161</v>
      </c>
      <c r="B4" s="1176"/>
      <c r="C4" s="1176"/>
      <c r="D4" s="1176"/>
      <c r="E4" s="1176"/>
      <c r="F4" s="1176"/>
      <c r="G4" s="1176"/>
      <c r="H4" s="1176"/>
    </row>
    <row r="5" spans="1:13">
      <c r="C5" s="22"/>
      <c r="E5" s="22"/>
      <c r="F5" s="22"/>
      <c r="G5" s="22"/>
    </row>
    <row r="6" spans="1:13">
      <c r="D6" s="1177" t="s">
        <v>25</v>
      </c>
      <c r="E6" s="1177"/>
      <c r="F6" s="1177"/>
      <c r="G6" s="26">
        <f>H23</f>
        <v>102431.34077272545</v>
      </c>
      <c r="H6" s="27" t="s">
        <v>2</v>
      </c>
    </row>
    <row r="7" spans="1:13">
      <c r="D7" s="28"/>
      <c r="E7" s="28"/>
      <c r="F7" s="28"/>
      <c r="G7" s="29"/>
      <c r="H7" s="30"/>
    </row>
    <row r="8" spans="1:13" ht="26.25" customHeight="1">
      <c r="A8" s="1178" t="s">
        <v>26</v>
      </c>
      <c r="B8" s="1179" t="s">
        <v>14</v>
      </c>
      <c r="C8" s="1180" t="s">
        <v>27</v>
      </c>
      <c r="D8" s="1181" t="s">
        <v>15</v>
      </c>
      <c r="E8" s="1181"/>
      <c r="F8" s="1181"/>
      <c r="G8" s="1181"/>
      <c r="H8" s="1181"/>
    </row>
    <row r="9" spans="1:13" ht="60">
      <c r="A9" s="1178"/>
      <c r="B9" s="1179"/>
      <c r="C9" s="1180"/>
      <c r="D9" s="943" t="s">
        <v>17</v>
      </c>
      <c r="E9" s="943" t="s">
        <v>28</v>
      </c>
      <c r="F9" s="943" t="s">
        <v>19</v>
      </c>
      <c r="G9" s="943" t="s">
        <v>20</v>
      </c>
      <c r="H9" s="943" t="s">
        <v>16</v>
      </c>
    </row>
    <row r="10" spans="1:13">
      <c r="A10" s="31">
        <v>1</v>
      </c>
      <c r="B10" s="306">
        <v>2</v>
      </c>
      <c r="C10" s="33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</row>
    <row r="11" spans="1:13" ht="24.6" customHeight="1">
      <c r="A11" s="944">
        <v>1</v>
      </c>
      <c r="B11" s="945" t="s">
        <v>341</v>
      </c>
      <c r="C11" s="34" t="s">
        <v>29</v>
      </c>
      <c r="D11" s="35">
        <f>'4-1-სამ -ლიუბლიანა'!L199</f>
        <v>0</v>
      </c>
      <c r="E11" s="36"/>
      <c r="F11" s="36"/>
      <c r="G11" s="36"/>
      <c r="H11" s="36">
        <f>G11+F11+E11+D11</f>
        <v>0</v>
      </c>
    </row>
    <row r="12" spans="1:13" ht="26.4" customHeight="1">
      <c r="A12" s="944">
        <v>2</v>
      </c>
      <c r="B12" s="945" t="s">
        <v>342</v>
      </c>
      <c r="C12" s="34" t="s">
        <v>336</v>
      </c>
      <c r="D12" s="36">
        <f>'4-2-წკ '!L76</f>
        <v>0</v>
      </c>
      <c r="E12" s="36"/>
      <c r="F12" s="36"/>
      <c r="G12" s="36"/>
      <c r="H12" s="36">
        <f>G12+F12+E12+D12</f>
        <v>0</v>
      </c>
    </row>
    <row r="13" spans="1:13" ht="31.5" customHeight="1">
      <c r="A13" s="944">
        <v>3</v>
      </c>
      <c r="B13" s="945" t="s">
        <v>343</v>
      </c>
      <c r="C13" s="34" t="s">
        <v>337</v>
      </c>
      <c r="D13" s="36">
        <f>'4-3-გარე ქსელები '!L61</f>
        <v>2301.8341064574511</v>
      </c>
      <c r="E13" s="36"/>
      <c r="F13" s="36"/>
      <c r="G13" s="36"/>
      <c r="H13" s="36">
        <f>G13+F13+E13+D13</f>
        <v>2301.8341064574511</v>
      </c>
    </row>
    <row r="14" spans="1:13" ht="31.5" customHeight="1">
      <c r="A14" s="944">
        <v>4</v>
      </c>
      <c r="B14" s="945" t="s">
        <v>344</v>
      </c>
      <c r="C14" s="34" t="s">
        <v>30</v>
      </c>
      <c r="D14" s="36">
        <f>'4-4 ელ '!L75</f>
        <v>1475.6296500000001</v>
      </c>
      <c r="E14" s="36">
        <f>'4-4 ელ '!L76</f>
        <v>7221.4571428474583</v>
      </c>
      <c r="F14" s="36"/>
      <c r="G14" s="36"/>
      <c r="H14" s="994">
        <f t="shared" ref="H14:H16" si="0">G14+F14+E14+D14</f>
        <v>8697.0867928474581</v>
      </c>
    </row>
    <row r="15" spans="1:13" ht="31.5" customHeight="1">
      <c r="A15" s="944">
        <v>5</v>
      </c>
      <c r="B15" s="945" t="s">
        <v>345</v>
      </c>
      <c r="C15" s="80" t="s">
        <v>31</v>
      </c>
      <c r="D15" s="36">
        <f>'4-5-ვკ '!L57</f>
        <v>3274.6779524635926</v>
      </c>
      <c r="E15" s="36"/>
      <c r="F15" s="36"/>
      <c r="G15" s="36"/>
      <c r="H15" s="36">
        <f t="shared" si="0"/>
        <v>3274.6779524635926</v>
      </c>
    </row>
    <row r="16" spans="1:13" ht="24.6" customHeight="1">
      <c r="A16" s="1014">
        <v>6</v>
      </c>
      <c r="B16" s="1007" t="s">
        <v>346</v>
      </c>
      <c r="C16" s="1015" t="s">
        <v>339</v>
      </c>
      <c r="D16" s="1016">
        <f>'4-6-ეზო -ლიუბლიანა '!L319</f>
        <v>67177.230136113387</v>
      </c>
      <c r="E16" s="1016"/>
      <c r="F16" s="1016"/>
      <c r="G16" s="1016"/>
      <c r="H16" s="36">
        <f t="shared" si="0"/>
        <v>67177.230136113387</v>
      </c>
    </row>
    <row r="17" spans="1:8" s="21" customFormat="1" ht="25.95" customHeight="1">
      <c r="A17" s="13"/>
      <c r="B17" s="307"/>
      <c r="C17" s="81" t="s">
        <v>21</v>
      </c>
      <c r="D17" s="82">
        <f>SUM(D11:D16)</f>
        <v>74229.371845034431</v>
      </c>
      <c r="E17" s="82">
        <f>SUM(E11:E16)</f>
        <v>7221.4571428474583</v>
      </c>
      <c r="F17" s="82">
        <f>SUM(F11:F15)</f>
        <v>0</v>
      </c>
      <c r="G17" s="82"/>
      <c r="H17" s="82">
        <f>SUM(H11:H16)</f>
        <v>81450.82898788189</v>
      </c>
    </row>
    <row r="18" spans="1:8" s="83" customFormat="1" ht="31.8" customHeight="1">
      <c r="A18" s="106">
        <v>7</v>
      </c>
      <c r="B18" s="111"/>
      <c r="C18" s="1041" t="s">
        <v>382</v>
      </c>
      <c r="D18" s="109"/>
      <c r="E18" s="109"/>
      <c r="F18" s="109"/>
      <c r="G18" s="109"/>
      <c r="H18" s="109">
        <f>H17*0.015</f>
        <v>1221.7624348182283</v>
      </c>
    </row>
    <row r="19" spans="1:8" s="21" customFormat="1" ht="23.4" customHeight="1">
      <c r="A19" s="13"/>
      <c r="B19" s="307"/>
      <c r="C19" s="81" t="s">
        <v>21</v>
      </c>
      <c r="D19" s="82"/>
      <c r="E19" s="82"/>
      <c r="F19" s="82"/>
      <c r="G19" s="82"/>
      <c r="H19" s="82">
        <f>SUM(H17:H18)</f>
        <v>82672.591422700119</v>
      </c>
    </row>
    <row r="20" spans="1:8" s="84" customFormat="1" ht="23.4" customHeight="1">
      <c r="A20" s="1004">
        <v>8</v>
      </c>
      <c r="B20" s="111"/>
      <c r="C20" s="112" t="s">
        <v>23</v>
      </c>
      <c r="D20" s="107"/>
      <c r="E20" s="107"/>
      <c r="F20" s="107"/>
      <c r="G20" s="107"/>
      <c r="H20" s="107">
        <f>H19*0.05</f>
        <v>4133.6295711350058</v>
      </c>
    </row>
    <row r="21" spans="1:8" s="21" customFormat="1" ht="23.4" customHeight="1">
      <c r="A21" s="13"/>
      <c r="B21" s="307"/>
      <c r="C21" s="81" t="s">
        <v>21</v>
      </c>
      <c r="D21" s="82"/>
      <c r="E21" s="82"/>
      <c r="F21" s="82"/>
      <c r="G21" s="82"/>
      <c r="H21" s="82">
        <f>SUM(H19:H20)</f>
        <v>86806.22099383513</v>
      </c>
    </row>
    <row r="22" spans="1:8" s="84" customFormat="1" ht="23.4" customHeight="1">
      <c r="A22" s="1004">
        <v>9</v>
      </c>
      <c r="B22" s="1004"/>
      <c r="C22" s="112" t="s">
        <v>24</v>
      </c>
      <c r="D22" s="107"/>
      <c r="E22" s="107"/>
      <c r="F22" s="107"/>
      <c r="G22" s="107"/>
      <c r="H22" s="107">
        <f>H21*0.18</f>
        <v>15625.119778890323</v>
      </c>
    </row>
    <row r="23" spans="1:8" s="84" customFormat="1" ht="23.4" customHeight="1">
      <c r="A23" s="1004"/>
      <c r="B23" s="1004"/>
      <c r="C23" s="110" t="s">
        <v>22</v>
      </c>
      <c r="D23" s="108"/>
      <c r="E23" s="108"/>
      <c r="F23" s="108"/>
      <c r="G23" s="108"/>
      <c r="H23" s="108">
        <f>H22+H21</f>
        <v>102431.34077272545</v>
      </c>
    </row>
    <row r="45" ht="28.95" customHeight="1"/>
    <row r="76" ht="32.4" customHeight="1"/>
    <row r="171" ht="36.6" customHeight="1"/>
    <row r="178" ht="42.6" customHeight="1"/>
    <row r="185" ht="39.6" customHeight="1"/>
    <row r="476" spans="3:3">
      <c r="C476" s="23" t="s">
        <v>157</v>
      </c>
    </row>
  </sheetData>
  <mergeCells count="8">
    <mergeCell ref="A1:M1"/>
    <mergeCell ref="A2:D2"/>
    <mergeCell ref="A4:H4"/>
    <mergeCell ref="D6:F6"/>
    <mergeCell ref="A8:A9"/>
    <mergeCell ref="B8:B9"/>
    <mergeCell ref="C8:C9"/>
    <mergeCell ref="D8:H8"/>
  </mergeCells>
  <printOptions horizontalCentered="1"/>
  <pageMargins left="0.118110236220472" right="0.118110236220472" top="0.31299212599999998" bottom="0.25" header="0.66929133858267698" footer="0.314960629921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FF"/>
  </sheetPr>
  <dimension ref="A2:Q229"/>
  <sheetViews>
    <sheetView zoomScale="103" zoomScaleNormal="103" zoomScaleSheetLayoutView="100" workbookViewId="0">
      <pane xSplit="15996" topLeftCell="F1"/>
      <selection activeCell="K157" sqref="K157"/>
      <selection pane="topRight" activeCell="M959" sqref="M959"/>
    </sheetView>
  </sheetViews>
  <sheetFormatPr defaultColWidth="9.109375" defaultRowHeight="15"/>
  <cols>
    <col min="1" max="1" width="5" style="62" customWidth="1"/>
    <col min="2" max="2" width="35.44140625" style="18" customWidth="1"/>
    <col min="3" max="3" width="8.44140625" style="51" customWidth="1"/>
    <col min="4" max="4" width="8.5546875" style="187" customWidth="1"/>
    <col min="5" max="5" width="8.6640625" style="187" customWidth="1"/>
    <col min="6" max="6" width="8.88671875" style="188" customWidth="1"/>
    <col min="7" max="7" width="10.44140625" style="188" customWidth="1"/>
    <col min="8" max="8" width="7.33203125" style="188" customWidth="1"/>
    <col min="9" max="9" width="9.33203125" style="188" customWidth="1"/>
    <col min="10" max="10" width="7.88671875" style="268" customWidth="1"/>
    <col min="11" max="11" width="9" style="188" customWidth="1"/>
    <col min="12" max="12" width="10.44140625" style="188" customWidth="1"/>
    <col min="13" max="16384" width="9.109375" style="255"/>
  </cols>
  <sheetData>
    <row r="2" spans="1:12" s="367" customFormat="1" ht="28.5" customHeight="1">
      <c r="A2" s="113"/>
      <c r="B2" s="1187" t="s">
        <v>439</v>
      </c>
      <c r="C2" s="1187"/>
      <c r="D2" s="1188"/>
      <c r="E2" s="1188"/>
      <c r="F2" s="1188"/>
      <c r="G2" s="1188"/>
      <c r="H2" s="1188"/>
      <c r="I2" s="1188"/>
      <c r="J2" s="1189"/>
      <c r="K2" s="114"/>
      <c r="L2" s="114"/>
    </row>
    <row r="3" spans="1:12" s="367" customFormat="1">
      <c r="A3" s="113"/>
      <c r="B3" s="1190" t="s">
        <v>29</v>
      </c>
      <c r="C3" s="1190"/>
      <c r="D3" s="1191"/>
      <c r="E3" s="1191"/>
      <c r="F3" s="1191"/>
      <c r="G3" s="1191"/>
      <c r="H3" s="1191"/>
      <c r="I3" s="1191"/>
      <c r="J3" s="268"/>
      <c r="K3" s="114"/>
      <c r="L3" s="114"/>
    </row>
    <row r="4" spans="1:12" s="283" customFormat="1" ht="15" customHeight="1">
      <c r="A4" s="113"/>
      <c r="B4" s="47"/>
      <c r="C4" s="65"/>
      <c r="D4" s="114"/>
      <c r="E4" s="114"/>
      <c r="F4" s="114"/>
      <c r="G4" s="114"/>
      <c r="H4" s="114"/>
      <c r="I4" s="114"/>
      <c r="J4" s="280"/>
      <c r="K4" s="114"/>
      <c r="L4" s="114"/>
    </row>
    <row r="5" spans="1:12" s="254" customFormat="1" ht="31.5" customHeight="1">
      <c r="A5" s="1182" t="s">
        <v>13</v>
      </c>
      <c r="B5" s="1182" t="s">
        <v>27</v>
      </c>
      <c r="C5" s="1182" t="s">
        <v>156</v>
      </c>
      <c r="D5" s="1183" t="s">
        <v>33</v>
      </c>
      <c r="E5" s="1184"/>
      <c r="F5" s="1192" t="s">
        <v>34</v>
      </c>
      <c r="G5" s="1192"/>
      <c r="H5" s="1192" t="s">
        <v>35</v>
      </c>
      <c r="I5" s="1192"/>
      <c r="J5" s="1193" t="s">
        <v>36</v>
      </c>
      <c r="K5" s="1192"/>
      <c r="L5" s="1185" t="s">
        <v>37</v>
      </c>
    </row>
    <row r="6" spans="1:12" s="254" customFormat="1" ht="38.4" customHeight="1">
      <c r="A6" s="1182"/>
      <c r="B6" s="1182"/>
      <c r="C6" s="1182"/>
      <c r="D6" s="363" t="s">
        <v>38</v>
      </c>
      <c r="E6" s="363" t="s">
        <v>88</v>
      </c>
      <c r="F6" s="363" t="s">
        <v>39</v>
      </c>
      <c r="G6" s="363" t="s">
        <v>40</v>
      </c>
      <c r="H6" s="363" t="s">
        <v>39</v>
      </c>
      <c r="I6" s="363" t="s">
        <v>40</v>
      </c>
      <c r="J6" s="364" t="s">
        <v>39</v>
      </c>
      <c r="K6" s="363" t="s">
        <v>40</v>
      </c>
      <c r="L6" s="1186"/>
    </row>
    <row r="7" spans="1:12" s="254" customFormat="1" ht="21" customHeight="1">
      <c r="A7" s="115">
        <v>1</v>
      </c>
      <c r="B7" s="115">
        <v>2</v>
      </c>
      <c r="C7" s="116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281">
        <v>10</v>
      </c>
      <c r="K7" s="117">
        <v>11</v>
      </c>
      <c r="L7" s="117">
        <v>12</v>
      </c>
    </row>
    <row r="8" spans="1:12">
      <c r="A8" s="116"/>
      <c r="B8" s="477" t="s">
        <v>198</v>
      </c>
      <c r="C8" s="362"/>
      <c r="D8" s="119"/>
      <c r="E8" s="119"/>
      <c r="F8" s="119"/>
      <c r="G8" s="120"/>
      <c r="H8" s="119"/>
      <c r="I8" s="119"/>
      <c r="J8" s="119"/>
      <c r="K8" s="119"/>
      <c r="L8" s="119"/>
    </row>
    <row r="9" spans="1:12">
      <c r="A9" s="404"/>
      <c r="B9" s="490" t="s">
        <v>190</v>
      </c>
      <c r="C9" s="368"/>
      <c r="D9" s="491"/>
      <c r="E9" s="491"/>
      <c r="F9" s="491"/>
      <c r="G9" s="492"/>
      <c r="H9" s="491"/>
      <c r="I9" s="491"/>
      <c r="J9" s="491"/>
      <c r="K9" s="491"/>
      <c r="L9" s="491"/>
    </row>
    <row r="10" spans="1:12" s="197" customFormat="1" ht="38.4" customHeight="1">
      <c r="A10" s="319">
        <v>1</v>
      </c>
      <c r="B10" s="320" t="s">
        <v>205</v>
      </c>
      <c r="C10" s="321" t="s">
        <v>146</v>
      </c>
      <c r="D10" s="322"/>
      <c r="E10" s="323">
        <f>0.91*1.23+1.37*1.23</f>
        <v>2.8044000000000002</v>
      </c>
      <c r="F10" s="322"/>
      <c r="G10" s="323"/>
      <c r="H10" s="322"/>
      <c r="I10" s="322"/>
      <c r="J10" s="322"/>
      <c r="K10" s="322"/>
      <c r="L10" s="322"/>
    </row>
    <row r="11" spans="1:12" s="197" customFormat="1">
      <c r="A11" s="702"/>
      <c r="B11" s="121" t="s">
        <v>42</v>
      </c>
      <c r="C11" s="702" t="s">
        <v>43</v>
      </c>
      <c r="D11" s="123">
        <f>0.6*2.72</f>
        <v>1.6320000000000001</v>
      </c>
      <c r="E11" s="124">
        <f>D11*E10</f>
        <v>4.5767808000000008</v>
      </c>
      <c r="F11" s="125"/>
      <c r="G11" s="703"/>
      <c r="H11" s="125"/>
      <c r="I11" s="70">
        <f>H11*E11</f>
        <v>0</v>
      </c>
      <c r="J11" s="125"/>
      <c r="K11" s="125"/>
      <c r="L11" s="70">
        <f>K11+I11+G11</f>
        <v>0</v>
      </c>
    </row>
    <row r="12" spans="1:12" s="197" customFormat="1" ht="38.4" customHeight="1">
      <c r="A12" s="319">
        <v>2</v>
      </c>
      <c r="B12" s="320" t="s">
        <v>206</v>
      </c>
      <c r="C12" s="321" t="s">
        <v>146</v>
      </c>
      <c r="D12" s="322"/>
      <c r="E12" s="323">
        <f>0.85*2</f>
        <v>1.7</v>
      </c>
      <c r="F12" s="322"/>
      <c r="G12" s="323"/>
      <c r="H12" s="322"/>
      <c r="I12" s="322"/>
      <c r="J12" s="322"/>
      <c r="K12" s="322"/>
      <c r="L12" s="322"/>
    </row>
    <row r="13" spans="1:12" s="197" customFormat="1">
      <c r="A13" s="702"/>
      <c r="B13" s="121" t="s">
        <v>42</v>
      </c>
      <c r="C13" s="702" t="s">
        <v>43</v>
      </c>
      <c r="D13" s="123">
        <f>0.6*2.72</f>
        <v>1.6320000000000001</v>
      </c>
      <c r="E13" s="124">
        <f>D13*E12</f>
        <v>2.7744</v>
      </c>
      <c r="F13" s="125"/>
      <c r="G13" s="703"/>
      <c r="H13" s="125"/>
      <c r="I13" s="70">
        <f>H13*E13</f>
        <v>0</v>
      </c>
      <c r="J13" s="125"/>
      <c r="K13" s="125"/>
      <c r="L13" s="70">
        <f>K13+I13+G13</f>
        <v>0</v>
      </c>
    </row>
    <row r="14" spans="1:12" s="196" customFormat="1" ht="30">
      <c r="A14" s="321">
        <v>3</v>
      </c>
      <c r="B14" s="324" t="s">
        <v>207</v>
      </c>
      <c r="C14" s="321" t="s">
        <v>146</v>
      </c>
      <c r="D14" s="325"/>
      <c r="E14" s="326">
        <f>0.8*2.1</f>
        <v>1.6800000000000002</v>
      </c>
      <c r="F14" s="327"/>
      <c r="G14" s="328"/>
      <c r="H14" s="327"/>
      <c r="I14" s="328"/>
      <c r="J14" s="327"/>
      <c r="K14" s="328"/>
      <c r="L14" s="328"/>
    </row>
    <row r="15" spans="1:12" s="197" customFormat="1">
      <c r="A15" s="702"/>
      <c r="B15" s="121" t="s">
        <v>42</v>
      </c>
      <c r="C15" s="702" t="s">
        <v>43</v>
      </c>
      <c r="D15" s="123">
        <v>0.88700000000000001</v>
      </c>
      <c r="E15" s="124">
        <f>D15*E14</f>
        <v>1.4901600000000002</v>
      </c>
      <c r="F15" s="125"/>
      <c r="G15" s="703"/>
      <c r="H15" s="125"/>
      <c r="I15" s="70">
        <f>H15*E15</f>
        <v>0</v>
      </c>
      <c r="J15" s="125"/>
      <c r="K15" s="125"/>
      <c r="L15" s="70">
        <f>K15+I15+G15</f>
        <v>0</v>
      </c>
    </row>
    <row r="16" spans="1:12" s="5" customFormat="1" ht="16.2">
      <c r="A16" s="702"/>
      <c r="B16" s="121" t="s">
        <v>49</v>
      </c>
      <c r="C16" s="702" t="s">
        <v>2</v>
      </c>
      <c r="D16" s="703">
        <v>9.8400000000000001E-2</v>
      </c>
      <c r="E16" s="125">
        <f>D16*E14</f>
        <v>0.16531200000000001</v>
      </c>
      <c r="F16" s="125"/>
      <c r="G16" s="70"/>
      <c r="H16" s="125"/>
      <c r="I16" s="70"/>
      <c r="J16" s="125"/>
      <c r="K16" s="70">
        <f>J16*E16</f>
        <v>0</v>
      </c>
      <c r="L16" s="127">
        <f>K16+I16+G16</f>
        <v>0</v>
      </c>
    </row>
    <row r="17" spans="1:12" s="196" customFormat="1" ht="30">
      <c r="A17" s="321">
        <v>4</v>
      </c>
      <c r="B17" s="324" t="s">
        <v>208</v>
      </c>
      <c r="C17" s="321" t="s">
        <v>146</v>
      </c>
      <c r="D17" s="325"/>
      <c r="E17" s="326">
        <f>0.7*2.1</f>
        <v>1.47</v>
      </c>
      <c r="F17" s="327"/>
      <c r="G17" s="328"/>
      <c r="H17" s="327"/>
      <c r="I17" s="328"/>
      <c r="J17" s="327"/>
      <c r="K17" s="328"/>
      <c r="L17" s="328"/>
    </row>
    <row r="18" spans="1:12" s="197" customFormat="1">
      <c r="A18" s="702"/>
      <c r="B18" s="121" t="s">
        <v>42</v>
      </c>
      <c r="C18" s="702" t="s">
        <v>43</v>
      </c>
      <c r="D18" s="123">
        <f>0.6*2.72</f>
        <v>1.6320000000000001</v>
      </c>
      <c r="E18" s="124">
        <f>D18*E17</f>
        <v>2.3990400000000003</v>
      </c>
      <c r="F18" s="125"/>
      <c r="G18" s="703"/>
      <c r="H18" s="125"/>
      <c r="I18" s="70">
        <f>H18*E18</f>
        <v>0</v>
      </c>
      <c r="J18" s="125"/>
      <c r="K18" s="125"/>
      <c r="L18" s="70">
        <f>K18+I18+G18</f>
        <v>0</v>
      </c>
    </row>
    <row r="19" spans="1:12" s="197" customFormat="1" ht="44.4" customHeight="1">
      <c r="A19" s="319">
        <v>5</v>
      </c>
      <c r="B19" s="320" t="s">
        <v>213</v>
      </c>
      <c r="C19" s="321" t="s">
        <v>143</v>
      </c>
      <c r="D19" s="322"/>
      <c r="E19" s="323">
        <f>0.23*1.23*0.2</f>
        <v>5.6579999999999998E-2</v>
      </c>
      <c r="F19" s="322"/>
      <c r="G19" s="323"/>
      <c r="H19" s="322"/>
      <c r="I19" s="322"/>
      <c r="J19" s="322"/>
      <c r="K19" s="322"/>
      <c r="L19" s="322"/>
    </row>
    <row r="20" spans="1:12" s="197" customFormat="1">
      <c r="A20" s="702"/>
      <c r="B20" s="121" t="s">
        <v>42</v>
      </c>
      <c r="C20" s="702" t="s">
        <v>43</v>
      </c>
      <c r="D20" s="123">
        <v>8.89</v>
      </c>
      <c r="E20" s="124">
        <f>D20*E19</f>
        <v>0.5029962</v>
      </c>
      <c r="F20" s="125"/>
      <c r="G20" s="703"/>
      <c r="H20" s="125"/>
      <c r="I20" s="70">
        <f>H20*E20</f>
        <v>0</v>
      </c>
      <c r="J20" s="125"/>
      <c r="K20" s="125"/>
      <c r="L20" s="70">
        <f>K20+I20+G20</f>
        <v>0</v>
      </c>
    </row>
    <row r="21" spans="1:12" s="5" customFormat="1" ht="16.2">
      <c r="A21" s="702"/>
      <c r="B21" s="121" t="s">
        <v>49</v>
      </c>
      <c r="C21" s="702" t="s">
        <v>2</v>
      </c>
      <c r="D21" s="703">
        <v>2.61</v>
      </c>
      <c r="E21" s="125">
        <f>D21*E19</f>
        <v>0.14767379999999999</v>
      </c>
      <c r="F21" s="125"/>
      <c r="G21" s="70"/>
      <c r="H21" s="125"/>
      <c r="I21" s="70"/>
      <c r="J21" s="125"/>
      <c r="K21" s="70">
        <f>J21*E21</f>
        <v>0</v>
      </c>
      <c r="L21" s="127">
        <f>K21+I21+G21</f>
        <v>0</v>
      </c>
    </row>
    <row r="22" spans="1:12" s="6" customFormat="1" ht="30">
      <c r="A22" s="321">
        <v>6</v>
      </c>
      <c r="B22" s="324" t="s">
        <v>376</v>
      </c>
      <c r="C22" s="321" t="s">
        <v>146</v>
      </c>
      <c r="D22" s="311"/>
      <c r="E22" s="327">
        <v>13.77</v>
      </c>
      <c r="F22" s="327"/>
      <c r="G22" s="328"/>
      <c r="H22" s="327"/>
      <c r="I22" s="328"/>
      <c r="J22" s="327"/>
      <c r="K22" s="328"/>
      <c r="L22" s="318"/>
    </row>
    <row r="23" spans="1:12" s="197" customFormat="1" ht="17.399999999999999">
      <c r="A23" s="1017"/>
      <c r="B23" s="121" t="s">
        <v>42</v>
      </c>
      <c r="C23" s="1017" t="s">
        <v>138</v>
      </c>
      <c r="D23" s="123">
        <v>1</v>
      </c>
      <c r="E23" s="124">
        <f>D23*E22</f>
        <v>13.77</v>
      </c>
      <c r="F23" s="125"/>
      <c r="G23" s="703"/>
      <c r="H23" s="125"/>
      <c r="I23" s="70">
        <f>H23*E23</f>
        <v>0</v>
      </c>
      <c r="J23" s="125"/>
      <c r="K23" s="125"/>
      <c r="L23" s="70">
        <f>K23+I23+G23</f>
        <v>0</v>
      </c>
    </row>
    <row r="24" spans="1:12" s="285" customFormat="1" ht="30">
      <c r="A24" s="311">
        <v>7</v>
      </c>
      <c r="B24" s="330" t="s">
        <v>195</v>
      </c>
      <c r="C24" s="321" t="s">
        <v>146</v>
      </c>
      <c r="D24" s="311"/>
      <c r="E24" s="327">
        <v>35</v>
      </c>
      <c r="F24" s="327"/>
      <c r="G24" s="328"/>
      <c r="H24" s="327"/>
      <c r="I24" s="328"/>
      <c r="J24" s="327"/>
      <c r="K24" s="328"/>
      <c r="L24" s="328"/>
    </row>
    <row r="25" spans="1:12" s="197" customFormat="1">
      <c r="A25" s="702"/>
      <c r="B25" s="121" t="s">
        <v>42</v>
      </c>
      <c r="C25" s="702" t="s">
        <v>43</v>
      </c>
      <c r="D25" s="123">
        <v>0.186</v>
      </c>
      <c r="E25" s="124">
        <f>D25*E24</f>
        <v>6.51</v>
      </c>
      <c r="F25" s="125"/>
      <c r="G25" s="703"/>
      <c r="H25" s="125"/>
      <c r="I25" s="70">
        <f>H25*E25</f>
        <v>0</v>
      </c>
      <c r="J25" s="125"/>
      <c r="K25" s="125"/>
      <c r="L25" s="70">
        <f>K25+I25+G25</f>
        <v>0</v>
      </c>
    </row>
    <row r="26" spans="1:12" s="5" customFormat="1" ht="16.2">
      <c r="A26" s="702"/>
      <c r="B26" s="121" t="s">
        <v>49</v>
      </c>
      <c r="C26" s="702" t="s">
        <v>2</v>
      </c>
      <c r="D26" s="703">
        <v>1.6000000000000001E-3</v>
      </c>
      <c r="E26" s="125">
        <f>D26*E24</f>
        <v>5.6000000000000001E-2</v>
      </c>
      <c r="F26" s="125"/>
      <c r="G26" s="70"/>
      <c r="H26" s="125"/>
      <c r="I26" s="70"/>
      <c r="J26" s="125"/>
      <c r="K26" s="70">
        <f>J26*E26</f>
        <v>0</v>
      </c>
      <c r="L26" s="127">
        <f>K26+I26+G26</f>
        <v>0</v>
      </c>
    </row>
    <row r="27" spans="1:12" s="197" customFormat="1" ht="30">
      <c r="A27" s="485">
        <v>8</v>
      </c>
      <c r="B27" s="330" t="s">
        <v>196</v>
      </c>
      <c r="C27" s="321" t="s">
        <v>146</v>
      </c>
      <c r="D27" s="486"/>
      <c r="E27" s="597">
        <v>42</v>
      </c>
      <c r="F27" s="487"/>
      <c r="G27" s="488"/>
      <c r="H27" s="487"/>
      <c r="I27" s="384"/>
      <c r="J27" s="487"/>
      <c r="K27" s="487"/>
      <c r="L27" s="384"/>
    </row>
    <row r="28" spans="1:12" s="197" customFormat="1">
      <c r="A28" s="702"/>
      <c r="B28" s="121" t="s">
        <v>42</v>
      </c>
      <c r="C28" s="702" t="s">
        <v>43</v>
      </c>
      <c r="D28" s="123">
        <v>0.186</v>
      </c>
      <c r="E28" s="124">
        <f>D28*E27</f>
        <v>7.8120000000000003</v>
      </c>
      <c r="F28" s="125"/>
      <c r="G28" s="703"/>
      <c r="H28" s="125"/>
      <c r="I28" s="70">
        <f>H28*E28</f>
        <v>0</v>
      </c>
      <c r="J28" s="125"/>
      <c r="K28" s="125"/>
      <c r="L28" s="70">
        <f>K28+I28+G28</f>
        <v>0</v>
      </c>
    </row>
    <row r="29" spans="1:12" s="5" customFormat="1" ht="16.2">
      <c r="A29" s="702"/>
      <c r="B29" s="121" t="s">
        <v>49</v>
      </c>
      <c r="C29" s="702" t="s">
        <v>2</v>
      </c>
      <c r="D29" s="703">
        <v>1.6000000000000001E-3</v>
      </c>
      <c r="E29" s="125">
        <f>D29*E27</f>
        <v>6.720000000000001E-2</v>
      </c>
      <c r="F29" s="125"/>
      <c r="G29" s="70"/>
      <c r="H29" s="125"/>
      <c r="I29" s="70"/>
      <c r="J29" s="125"/>
      <c r="K29" s="70">
        <f>J29*E29</f>
        <v>0</v>
      </c>
      <c r="L29" s="127">
        <f>K29+I29+G29</f>
        <v>0</v>
      </c>
    </row>
    <row r="30" spans="1:12" s="196" customFormat="1" ht="30">
      <c r="A30" s="321">
        <v>9</v>
      </c>
      <c r="B30" s="324" t="s">
        <v>162</v>
      </c>
      <c r="C30" s="321" t="s">
        <v>146</v>
      </c>
      <c r="D30" s="325"/>
      <c r="E30" s="326">
        <v>20.85</v>
      </c>
      <c r="F30" s="327"/>
      <c r="G30" s="328"/>
      <c r="H30" s="327"/>
      <c r="I30" s="328"/>
      <c r="J30" s="327"/>
      <c r="K30" s="328"/>
      <c r="L30" s="328"/>
    </row>
    <row r="31" spans="1:12" s="197" customFormat="1">
      <c r="A31" s="702"/>
      <c r="B31" s="121" t="s">
        <v>42</v>
      </c>
      <c r="C31" s="702" t="s">
        <v>43</v>
      </c>
      <c r="D31" s="123">
        <v>8.2000000000000003E-2</v>
      </c>
      <c r="E31" s="124">
        <f>D31*E30</f>
        <v>1.7097000000000002</v>
      </c>
      <c r="F31" s="125"/>
      <c r="G31" s="703"/>
      <c r="H31" s="125"/>
      <c r="I31" s="70">
        <f>H31*E31</f>
        <v>0</v>
      </c>
      <c r="J31" s="125"/>
      <c r="K31" s="125"/>
      <c r="L31" s="70">
        <f>K31+I31+G31</f>
        <v>0</v>
      </c>
    </row>
    <row r="32" spans="1:12" s="5" customFormat="1" ht="16.2">
      <c r="A32" s="702"/>
      <c r="B32" s="121" t="s">
        <v>49</v>
      </c>
      <c r="C32" s="702" t="s">
        <v>2</v>
      </c>
      <c r="D32" s="703">
        <v>5.0000000000000001E-3</v>
      </c>
      <c r="E32" s="125">
        <f>D32*E25</f>
        <v>3.2550000000000003E-2</v>
      </c>
      <c r="F32" s="125"/>
      <c r="G32" s="70"/>
      <c r="H32" s="125"/>
      <c r="I32" s="70"/>
      <c r="J32" s="125"/>
      <c r="K32" s="70">
        <f>J32*E32</f>
        <v>0</v>
      </c>
      <c r="L32" s="127">
        <f>K32+I32+G32</f>
        <v>0</v>
      </c>
    </row>
    <row r="33" spans="1:16" s="6" customFormat="1" ht="16.2">
      <c r="A33" s="727">
        <v>10</v>
      </c>
      <c r="B33" s="922" t="s">
        <v>304</v>
      </c>
      <c r="C33" s="727" t="s">
        <v>96</v>
      </c>
      <c r="D33" s="907"/>
      <c r="E33" s="923">
        <v>1</v>
      </c>
      <c r="F33" s="923"/>
      <c r="G33" s="807"/>
      <c r="H33" s="923"/>
      <c r="I33" s="807"/>
      <c r="J33" s="923"/>
      <c r="K33" s="807"/>
      <c r="L33" s="908"/>
    </row>
    <row r="34" spans="1:16" s="197" customFormat="1">
      <c r="A34" s="702"/>
      <c r="B34" s="121" t="s">
        <v>42</v>
      </c>
      <c r="C34" s="702" t="s">
        <v>43</v>
      </c>
      <c r="D34" s="123">
        <v>0.56000000000000005</v>
      </c>
      <c r="E34" s="124">
        <f>D34*E33</f>
        <v>0.56000000000000005</v>
      </c>
      <c r="F34" s="125"/>
      <c r="G34" s="703"/>
      <c r="H34" s="125"/>
      <c r="I34" s="70">
        <f>H34*E34</f>
        <v>0</v>
      </c>
      <c r="J34" s="125"/>
      <c r="K34" s="125"/>
      <c r="L34" s="70">
        <f>K34+I34+G34</f>
        <v>0</v>
      </c>
    </row>
    <row r="35" spans="1:16" s="6" customFormat="1" ht="16.2">
      <c r="A35" s="727">
        <v>11</v>
      </c>
      <c r="B35" s="922" t="s">
        <v>305</v>
      </c>
      <c r="C35" s="727" t="s">
        <v>96</v>
      </c>
      <c r="D35" s="907"/>
      <c r="E35" s="923">
        <v>1</v>
      </c>
      <c r="F35" s="923"/>
      <c r="G35" s="807"/>
      <c r="H35" s="923"/>
      <c r="I35" s="807"/>
      <c r="J35" s="923"/>
      <c r="K35" s="807"/>
      <c r="L35" s="908"/>
    </row>
    <row r="36" spans="1:16" s="197" customFormat="1">
      <c r="A36" s="702"/>
      <c r="B36" s="121" t="s">
        <v>42</v>
      </c>
      <c r="C36" s="702" t="s">
        <v>43</v>
      </c>
      <c r="D36" s="123">
        <v>0.46</v>
      </c>
      <c r="E36" s="124">
        <f>D36*E35</f>
        <v>0.46</v>
      </c>
      <c r="F36" s="125"/>
      <c r="G36" s="703"/>
      <c r="H36" s="125"/>
      <c r="I36" s="70">
        <f>H36*E36</f>
        <v>0</v>
      </c>
      <c r="J36" s="125"/>
      <c r="K36" s="125"/>
      <c r="L36" s="70">
        <f>K36+I36+G36</f>
        <v>0</v>
      </c>
    </row>
    <row r="37" spans="1:16" s="285" customFormat="1" ht="17.399999999999999">
      <c r="A37" s="311">
        <v>12</v>
      </c>
      <c r="B37" s="330" t="s">
        <v>390</v>
      </c>
      <c r="C37" s="321" t="s">
        <v>146</v>
      </c>
      <c r="D37" s="311"/>
      <c r="E37" s="327">
        <v>16</v>
      </c>
      <c r="F37" s="327"/>
      <c r="G37" s="328"/>
      <c r="H37" s="327"/>
      <c r="I37" s="328"/>
      <c r="J37" s="327"/>
      <c r="K37" s="328"/>
      <c r="L37" s="328"/>
      <c r="N37" s="284"/>
    </row>
    <row r="38" spans="1:16" s="197" customFormat="1">
      <c r="A38" s="1064"/>
      <c r="B38" s="121" t="s">
        <v>42</v>
      </c>
      <c r="C38" s="1064" t="s">
        <v>43</v>
      </c>
      <c r="D38" s="123">
        <v>0.32300000000000001</v>
      </c>
      <c r="E38" s="124">
        <f>D38*E37</f>
        <v>5.1680000000000001</v>
      </c>
      <c r="F38" s="125"/>
      <c r="G38" s="703"/>
      <c r="H38" s="125"/>
      <c r="I38" s="70">
        <f>H38*E38</f>
        <v>0</v>
      </c>
      <c r="J38" s="125"/>
      <c r="K38" s="125"/>
      <c r="L38" s="70">
        <f>K38+I38+G38</f>
        <v>0</v>
      </c>
      <c r="N38" s="284"/>
    </row>
    <row r="39" spans="1:16" s="5" customFormat="1" ht="16.2">
      <c r="A39" s="1064"/>
      <c r="B39" s="121" t="s">
        <v>49</v>
      </c>
      <c r="C39" s="1064" t="s">
        <v>2</v>
      </c>
      <c r="D39" s="703">
        <v>2.1499999999999998E-2</v>
      </c>
      <c r="E39" s="125">
        <f>D39*E37</f>
        <v>0.34399999999999997</v>
      </c>
      <c r="F39" s="125"/>
      <c r="G39" s="70"/>
      <c r="H39" s="125"/>
      <c r="I39" s="70"/>
      <c r="J39" s="125"/>
      <c r="K39" s="70">
        <f>J39*E39</f>
        <v>0</v>
      </c>
      <c r="L39" s="127">
        <f>K39+I39+G39</f>
        <v>0</v>
      </c>
      <c r="M39" s="247"/>
      <c r="N39" s="284"/>
      <c r="O39" s="247"/>
      <c r="P39" s="247"/>
    </row>
    <row r="40" spans="1:16" s="285" customFormat="1" ht="17.399999999999999">
      <c r="A40" s="311">
        <v>13</v>
      </c>
      <c r="B40" s="330" t="s">
        <v>391</v>
      </c>
      <c r="C40" s="321" t="s">
        <v>146</v>
      </c>
      <c r="D40" s="311"/>
      <c r="E40" s="327">
        <v>16</v>
      </c>
      <c r="F40" s="327"/>
      <c r="G40" s="328"/>
      <c r="H40" s="327"/>
      <c r="I40" s="328"/>
      <c r="J40" s="327"/>
      <c r="K40" s="328"/>
      <c r="L40" s="328"/>
      <c r="N40" s="284"/>
    </row>
    <row r="41" spans="1:16" s="197" customFormat="1">
      <c r="A41" s="1064"/>
      <c r="B41" s="121" t="s">
        <v>42</v>
      </c>
      <c r="C41" s="1064" t="s">
        <v>43</v>
      </c>
      <c r="D41" s="123">
        <v>1.1120000000000001</v>
      </c>
      <c r="E41" s="124">
        <f>D41*E40</f>
        <v>17.792000000000002</v>
      </c>
      <c r="F41" s="125"/>
      <c r="G41" s="703"/>
      <c r="H41" s="125"/>
      <c r="I41" s="70">
        <f>H41*E41</f>
        <v>0</v>
      </c>
      <c r="J41" s="125"/>
      <c r="K41" s="125"/>
      <c r="L41" s="70">
        <f>K41+I41+G41</f>
        <v>0</v>
      </c>
      <c r="N41" s="284"/>
    </row>
    <row r="42" spans="1:16" s="197" customFormat="1">
      <c r="A42" s="730"/>
      <c r="B42" s="897" t="s">
        <v>302</v>
      </c>
      <c r="C42" s="730" t="s">
        <v>44</v>
      </c>
      <c r="D42" s="905">
        <v>0.38400000000000001</v>
      </c>
      <c r="E42" s="906">
        <f>D42*E40</f>
        <v>6.1440000000000001</v>
      </c>
      <c r="F42" s="881"/>
      <c r="G42" s="898"/>
      <c r="H42" s="881"/>
      <c r="I42" s="707"/>
      <c r="J42" s="881"/>
      <c r="K42" s="70">
        <f>J42*E42</f>
        <v>0</v>
      </c>
      <c r="L42" s="127">
        <f>K42+I42+G42</f>
        <v>0</v>
      </c>
      <c r="N42" s="284"/>
    </row>
    <row r="43" spans="1:16" s="197" customFormat="1">
      <c r="A43" s="730"/>
      <c r="B43" s="897" t="s">
        <v>303</v>
      </c>
      <c r="C43" s="730" t="s">
        <v>44</v>
      </c>
      <c r="D43" s="905">
        <v>0.38400000000000001</v>
      </c>
      <c r="E43" s="906">
        <f>D43*E40</f>
        <v>6.1440000000000001</v>
      </c>
      <c r="F43" s="881"/>
      <c r="G43" s="898"/>
      <c r="H43" s="881"/>
      <c r="I43" s="707"/>
      <c r="J43" s="881"/>
      <c r="K43" s="70">
        <f>J43*E43</f>
        <v>0</v>
      </c>
      <c r="L43" s="127">
        <f>K43+I43+G43</f>
        <v>0</v>
      </c>
      <c r="N43" s="284"/>
    </row>
    <row r="44" spans="1:16" s="285" customFormat="1" ht="30">
      <c r="A44" s="321">
        <v>14</v>
      </c>
      <c r="B44" s="312" t="s">
        <v>211</v>
      </c>
      <c r="C44" s="321" t="s">
        <v>146</v>
      </c>
      <c r="D44" s="468"/>
      <c r="E44" s="327">
        <v>26</v>
      </c>
      <c r="F44" s="327"/>
      <c r="G44" s="328"/>
      <c r="H44" s="453"/>
      <c r="I44" s="318"/>
      <c r="J44" s="453"/>
      <c r="K44" s="318"/>
      <c r="L44" s="328"/>
      <c r="N44" s="329"/>
    </row>
    <row r="45" spans="1:16" s="197" customFormat="1">
      <c r="A45" s="1010"/>
      <c r="B45" s="121" t="s">
        <v>42</v>
      </c>
      <c r="C45" s="1010" t="s">
        <v>43</v>
      </c>
      <c r="D45" s="123">
        <v>0.32300000000000001</v>
      </c>
      <c r="E45" s="124">
        <f>D45*E44</f>
        <v>8.3979999999999997</v>
      </c>
      <c r="F45" s="125"/>
      <c r="G45" s="703"/>
      <c r="H45" s="125"/>
      <c r="I45" s="70">
        <f>H45*E45</f>
        <v>0</v>
      </c>
      <c r="J45" s="125"/>
      <c r="K45" s="125"/>
      <c r="L45" s="70">
        <f>K45+I45+G45</f>
        <v>0</v>
      </c>
      <c r="N45" s="284"/>
    </row>
    <row r="46" spans="1:16" s="5" customFormat="1" ht="16.2">
      <c r="A46" s="1010"/>
      <c r="B46" s="121" t="s">
        <v>49</v>
      </c>
      <c r="C46" s="1010" t="s">
        <v>2</v>
      </c>
      <c r="D46" s="703">
        <v>2.1499999999999998E-2</v>
      </c>
      <c r="E46" s="125">
        <f>D46*E44</f>
        <v>0.55899999999999994</v>
      </c>
      <c r="F46" s="125"/>
      <c r="G46" s="70"/>
      <c r="H46" s="125"/>
      <c r="I46" s="70"/>
      <c r="J46" s="125"/>
      <c r="K46" s="70">
        <f>J46*E46</f>
        <v>0</v>
      </c>
      <c r="L46" s="127">
        <f>K46+I46+G46</f>
        <v>0</v>
      </c>
      <c r="M46" s="247"/>
      <c r="N46" s="284"/>
      <c r="O46" s="247"/>
      <c r="P46" s="247"/>
    </row>
    <row r="47" spans="1:16" s="285" customFormat="1" ht="17.399999999999999">
      <c r="A47" s="311">
        <v>15</v>
      </c>
      <c r="B47" s="330" t="s">
        <v>395</v>
      </c>
      <c r="C47" s="321" t="s">
        <v>146</v>
      </c>
      <c r="D47" s="311"/>
      <c r="E47" s="327">
        <v>26</v>
      </c>
      <c r="F47" s="327"/>
      <c r="G47" s="328"/>
      <c r="H47" s="327"/>
      <c r="I47" s="328"/>
      <c r="J47" s="327"/>
      <c r="K47" s="328"/>
      <c r="L47" s="328"/>
      <c r="N47" s="284"/>
    </row>
    <row r="48" spans="1:16" s="197" customFormat="1">
      <c r="A48" s="1064"/>
      <c r="B48" s="121" t="s">
        <v>42</v>
      </c>
      <c r="C48" s="1064" t="s">
        <v>43</v>
      </c>
      <c r="D48" s="123">
        <v>1.1120000000000001</v>
      </c>
      <c r="E48" s="124">
        <f>D48*E47</f>
        <v>28.912000000000003</v>
      </c>
      <c r="F48" s="125"/>
      <c r="G48" s="703"/>
      <c r="H48" s="125"/>
      <c r="I48" s="70">
        <f>H48*E48</f>
        <v>0</v>
      </c>
      <c r="J48" s="125"/>
      <c r="K48" s="125"/>
      <c r="L48" s="70">
        <f>K48+I48+G48</f>
        <v>0</v>
      </c>
      <c r="N48" s="284"/>
    </row>
    <row r="49" spans="1:14" s="197" customFormat="1">
      <c r="A49" s="730"/>
      <c r="B49" s="897" t="s">
        <v>302</v>
      </c>
      <c r="C49" s="730" t="s">
        <v>44</v>
      </c>
      <c r="D49" s="905">
        <v>0.38400000000000001</v>
      </c>
      <c r="E49" s="906">
        <f>D49*E47</f>
        <v>9.984</v>
      </c>
      <c r="F49" s="881"/>
      <c r="G49" s="898"/>
      <c r="H49" s="881"/>
      <c r="I49" s="707"/>
      <c r="J49" s="881"/>
      <c r="K49" s="70">
        <f>J49*E49</f>
        <v>0</v>
      </c>
      <c r="L49" s="127">
        <f>K49+I49+G49</f>
        <v>0</v>
      </c>
      <c r="N49" s="284"/>
    </row>
    <row r="50" spans="1:14" s="197" customFormat="1">
      <c r="A50" s="730"/>
      <c r="B50" s="897" t="s">
        <v>303</v>
      </c>
      <c r="C50" s="730" t="s">
        <v>44</v>
      </c>
      <c r="D50" s="905">
        <v>0.38400000000000001</v>
      </c>
      <c r="E50" s="906">
        <f>D50*E47</f>
        <v>9.984</v>
      </c>
      <c r="F50" s="881"/>
      <c r="G50" s="898"/>
      <c r="H50" s="881"/>
      <c r="I50" s="707"/>
      <c r="J50" s="881"/>
      <c r="K50" s="70">
        <f>J50*E50</f>
        <v>0</v>
      </c>
      <c r="L50" s="127">
        <f>K50+I50+G50</f>
        <v>0</v>
      </c>
      <c r="N50" s="284"/>
    </row>
    <row r="51" spans="1:14" s="6" customFormat="1" ht="45">
      <c r="A51" s="810">
        <v>16</v>
      </c>
      <c r="B51" s="869" t="s">
        <v>364</v>
      </c>
      <c r="C51" s="810" t="s">
        <v>47</v>
      </c>
      <c r="D51" s="872"/>
      <c r="E51" s="940">
        <v>0.83899999999999997</v>
      </c>
      <c r="F51" s="940"/>
      <c r="G51" s="813"/>
      <c r="H51" s="940"/>
      <c r="I51" s="813"/>
      <c r="J51" s="940"/>
      <c r="K51" s="813"/>
      <c r="L51" s="841"/>
    </row>
    <row r="52" spans="1:14" s="197" customFormat="1">
      <c r="A52" s="1021"/>
      <c r="B52" s="121" t="s">
        <v>42</v>
      </c>
      <c r="C52" s="1021" t="s">
        <v>47</v>
      </c>
      <c r="D52" s="123">
        <v>1</v>
      </c>
      <c r="E52" s="124">
        <f>D52*E51</f>
        <v>0.83899999999999997</v>
      </c>
      <c r="F52" s="125"/>
      <c r="G52" s="703"/>
      <c r="H52" s="125"/>
      <c r="I52" s="70">
        <f>H52*E52</f>
        <v>0</v>
      </c>
      <c r="J52" s="125"/>
      <c r="K52" s="125"/>
      <c r="L52" s="70">
        <f>K52+I52+G52</f>
        <v>0</v>
      </c>
    </row>
    <row r="53" spans="1:14" s="6" customFormat="1" ht="30">
      <c r="A53" s="810">
        <v>17</v>
      </c>
      <c r="B53" s="869" t="s">
        <v>355</v>
      </c>
      <c r="C53" s="810" t="s">
        <v>47</v>
      </c>
      <c r="D53" s="872"/>
      <c r="E53" s="940">
        <v>0.83899999999999997</v>
      </c>
      <c r="F53" s="940"/>
      <c r="G53" s="813"/>
      <c r="H53" s="940"/>
      <c r="I53" s="813"/>
      <c r="J53" s="940"/>
      <c r="K53" s="813"/>
      <c r="L53" s="841"/>
    </row>
    <row r="54" spans="1:14" s="247" customFormat="1" ht="16.2">
      <c r="A54" s="814"/>
      <c r="B54" s="835" t="s">
        <v>356</v>
      </c>
      <c r="C54" s="814" t="s">
        <v>323</v>
      </c>
      <c r="D54" s="823"/>
      <c r="E54" s="824">
        <v>1</v>
      </c>
      <c r="F54" s="824"/>
      <c r="G54" s="818"/>
      <c r="H54" s="824"/>
      <c r="I54" s="818"/>
      <c r="J54" s="824"/>
      <c r="K54" s="70">
        <f>J54*E54</f>
        <v>0</v>
      </c>
      <c r="L54" s="127">
        <f>K54+I54+G54</f>
        <v>0</v>
      </c>
    </row>
    <row r="55" spans="1:14" s="6" customFormat="1" ht="45">
      <c r="A55" s="810">
        <v>18</v>
      </c>
      <c r="B55" s="869" t="s">
        <v>363</v>
      </c>
      <c r="C55" s="478" t="s">
        <v>143</v>
      </c>
      <c r="D55" s="872"/>
      <c r="E55" s="940">
        <v>2.3660000000000001</v>
      </c>
      <c r="F55" s="940"/>
      <c r="G55" s="813"/>
      <c r="H55" s="940"/>
      <c r="I55" s="813"/>
      <c r="J55" s="940"/>
      <c r="K55" s="813"/>
      <c r="L55" s="841"/>
    </row>
    <row r="56" spans="1:14" s="247" customFormat="1" ht="16.2">
      <c r="A56" s="814"/>
      <c r="B56" s="835" t="s">
        <v>378</v>
      </c>
      <c r="C56" s="814" t="s">
        <v>44</v>
      </c>
      <c r="D56" s="823">
        <f>1.25*0.041</f>
        <v>5.1250000000000004E-2</v>
      </c>
      <c r="E56" s="824">
        <f>D56*E55</f>
        <v>0.12125750000000002</v>
      </c>
      <c r="F56" s="824"/>
      <c r="G56" s="818"/>
      <c r="H56" s="824"/>
      <c r="I56" s="818"/>
      <c r="J56" s="824"/>
      <c r="K56" s="70">
        <f>J56*E56</f>
        <v>0</v>
      </c>
      <c r="L56" s="127">
        <f>K56+I56+G56</f>
        <v>0</v>
      </c>
    </row>
    <row r="57" spans="1:14" s="6" customFormat="1" ht="30">
      <c r="A57" s="810">
        <v>19</v>
      </c>
      <c r="B57" s="869" t="s">
        <v>361</v>
      </c>
      <c r="C57" s="478" t="s">
        <v>143</v>
      </c>
      <c r="D57" s="872"/>
      <c r="E57" s="940">
        <v>2.3660000000000001</v>
      </c>
      <c r="F57" s="940"/>
      <c r="G57" s="813"/>
      <c r="H57" s="940"/>
      <c r="I57" s="813"/>
      <c r="J57" s="940"/>
      <c r="K57" s="813"/>
      <c r="L57" s="841"/>
    </row>
    <row r="58" spans="1:14" s="247" customFormat="1" ht="16.2">
      <c r="A58" s="814"/>
      <c r="B58" s="835" t="s">
        <v>356</v>
      </c>
      <c r="C58" s="814" t="s">
        <v>47</v>
      </c>
      <c r="D58" s="823">
        <v>1.8</v>
      </c>
      <c r="E58" s="824">
        <f>D58*E57</f>
        <v>4.2587999999999999</v>
      </c>
      <c r="F58" s="824"/>
      <c r="G58" s="818"/>
      <c r="H58" s="824"/>
      <c r="I58" s="818"/>
      <c r="J58" s="824"/>
      <c r="K58" s="70">
        <f>J58*E58</f>
        <v>0</v>
      </c>
      <c r="L58" s="127">
        <f>K58+I58+G58</f>
        <v>0</v>
      </c>
    </row>
    <row r="59" spans="1:14" s="197" customFormat="1">
      <c r="A59" s="591"/>
      <c r="B59" s="592"/>
      <c r="C59" s="591"/>
      <c r="D59" s="593"/>
      <c r="E59" s="603"/>
      <c r="F59" s="594"/>
      <c r="G59" s="595"/>
      <c r="H59" s="594"/>
      <c r="I59" s="596"/>
      <c r="J59" s="594"/>
      <c r="K59" s="594"/>
      <c r="L59" s="596"/>
    </row>
    <row r="60" spans="1:14">
      <c r="A60" s="116"/>
      <c r="B60" s="504" t="s">
        <v>199</v>
      </c>
      <c r="C60" s="362"/>
      <c r="D60" s="120"/>
      <c r="E60" s="135"/>
      <c r="F60" s="135"/>
      <c r="G60" s="136"/>
      <c r="H60" s="135"/>
      <c r="I60" s="136"/>
      <c r="J60" s="135"/>
      <c r="K60" s="136"/>
      <c r="L60" s="136"/>
    </row>
    <row r="61" spans="1:14" s="254" customFormat="1" ht="16.2">
      <c r="A61" s="366"/>
      <c r="B61" s="479" t="s">
        <v>190</v>
      </c>
      <c r="C61" s="366"/>
      <c r="D61" s="365"/>
      <c r="E61" s="130"/>
      <c r="F61" s="125"/>
      <c r="G61" s="70"/>
      <c r="H61" s="125"/>
      <c r="I61" s="70"/>
      <c r="J61" s="125"/>
      <c r="K61" s="70"/>
      <c r="L61" s="70"/>
    </row>
    <row r="62" spans="1:14" s="289" customFormat="1" ht="27.6">
      <c r="A62" s="480">
        <v>20</v>
      </c>
      <c r="B62" s="472" t="s">
        <v>270</v>
      </c>
      <c r="C62" s="321" t="s">
        <v>146</v>
      </c>
      <c r="D62" s="481"/>
      <c r="E62" s="451">
        <v>20.85</v>
      </c>
      <c r="F62" s="451"/>
      <c r="G62" s="845"/>
      <c r="H62" s="451"/>
      <c r="I62" s="482"/>
      <c r="J62" s="451"/>
      <c r="K62" s="482"/>
      <c r="L62" s="482"/>
    </row>
    <row r="63" spans="1:14" s="74" customFormat="1" ht="17.399999999999999">
      <c r="A63" s="1013"/>
      <c r="B63" s="121" t="s">
        <v>70</v>
      </c>
      <c r="C63" s="1013" t="s">
        <v>149</v>
      </c>
      <c r="D63" s="703">
        <v>1</v>
      </c>
      <c r="E63" s="125">
        <f>E62*D63</f>
        <v>20.85</v>
      </c>
      <c r="F63" s="125"/>
      <c r="G63" s="70"/>
      <c r="H63" s="125"/>
      <c r="I63" s="70">
        <f>H63*E63</f>
        <v>0</v>
      </c>
      <c r="J63" s="125"/>
      <c r="K63" s="70"/>
      <c r="L63" s="70">
        <f>K63+I63+G63</f>
        <v>0</v>
      </c>
    </row>
    <row r="64" spans="1:14" s="74" customFormat="1">
      <c r="A64" s="116"/>
      <c r="B64" s="121" t="s">
        <v>45</v>
      </c>
      <c r="C64" s="1013" t="s">
        <v>2</v>
      </c>
      <c r="D64" s="703">
        <v>3.3999999999999998E-3</v>
      </c>
      <c r="E64" s="101">
        <f>D64*E62</f>
        <v>7.0889999999999995E-2</v>
      </c>
      <c r="F64" s="100"/>
      <c r="G64" s="127"/>
      <c r="H64" s="101"/>
      <c r="I64" s="136"/>
      <c r="J64" s="101"/>
      <c r="K64" s="127">
        <f>J64*E64</f>
        <v>0</v>
      </c>
      <c r="L64" s="127">
        <f>K64+I64+G64</f>
        <v>0</v>
      </c>
    </row>
    <row r="65" spans="1:12" s="74" customFormat="1" ht="30">
      <c r="A65" s="1013"/>
      <c r="B65" s="121" t="s">
        <v>324</v>
      </c>
      <c r="C65" s="1013" t="s">
        <v>138</v>
      </c>
      <c r="D65" s="123">
        <v>1.1000000000000001</v>
      </c>
      <c r="E65" s="124">
        <f>D65*E62</f>
        <v>22.935000000000002</v>
      </c>
      <c r="F65" s="100"/>
      <c r="G65" s="127">
        <f>E65*F65</f>
        <v>0</v>
      </c>
      <c r="H65" s="135"/>
      <c r="I65" s="136"/>
      <c r="J65" s="135"/>
      <c r="K65" s="136"/>
      <c r="L65" s="70">
        <f>K65+I65+G65</f>
        <v>0</v>
      </c>
    </row>
    <row r="66" spans="1:12" s="189" customFormat="1" ht="30">
      <c r="A66" s="822"/>
      <c r="B66" s="832" t="s">
        <v>64</v>
      </c>
      <c r="C66" s="822" t="s">
        <v>57</v>
      </c>
      <c r="D66" s="840">
        <v>0.05</v>
      </c>
      <c r="E66" s="838">
        <f>D66*E62</f>
        <v>1.0425000000000002</v>
      </c>
      <c r="F66" s="838"/>
      <c r="G66" s="827">
        <f>F66*E66</f>
        <v>0</v>
      </c>
      <c r="H66" s="838"/>
      <c r="I66" s="827"/>
      <c r="J66" s="838"/>
      <c r="K66" s="827"/>
      <c r="L66" s="827">
        <f t="shared" ref="L66:L67" si="0">K66+I66+G66</f>
        <v>0</v>
      </c>
    </row>
    <row r="67" spans="1:12" s="74" customFormat="1">
      <c r="A67" s="1013"/>
      <c r="B67" s="121" t="s">
        <v>58</v>
      </c>
      <c r="C67" s="822" t="s">
        <v>57</v>
      </c>
      <c r="D67" s="133">
        <v>0.02</v>
      </c>
      <c r="E67" s="134">
        <f>D67*E62</f>
        <v>0.41700000000000004</v>
      </c>
      <c r="F67" s="309"/>
      <c r="G67" s="827">
        <f>F67*E67</f>
        <v>0</v>
      </c>
      <c r="H67" s="838"/>
      <c r="I67" s="827"/>
      <c r="J67" s="838"/>
      <c r="K67" s="827"/>
      <c r="L67" s="827">
        <f t="shared" si="0"/>
        <v>0</v>
      </c>
    </row>
    <row r="68" spans="1:12" s="74" customFormat="1">
      <c r="A68" s="116"/>
      <c r="B68" s="121" t="s">
        <v>51</v>
      </c>
      <c r="C68" s="122" t="s">
        <v>2</v>
      </c>
      <c r="D68" s="118">
        <v>3.8600000000000002E-2</v>
      </c>
      <c r="E68" s="101">
        <f>D68*E62</f>
        <v>0.80481000000000014</v>
      </c>
      <c r="F68" s="101"/>
      <c r="G68" s="127">
        <f>E68*F68</f>
        <v>0</v>
      </c>
      <c r="H68" s="135"/>
      <c r="I68" s="136"/>
      <c r="J68" s="135"/>
      <c r="K68" s="136"/>
      <c r="L68" s="70">
        <f>K68+I68+G68</f>
        <v>0</v>
      </c>
    </row>
    <row r="69" spans="1:12" s="74" customFormat="1" ht="30.75" customHeight="1">
      <c r="A69" s="450">
        <v>21</v>
      </c>
      <c r="B69" s="312" t="s">
        <v>212</v>
      </c>
      <c r="C69" s="321" t="s">
        <v>146</v>
      </c>
      <c r="D69" s="452"/>
      <c r="E69" s="453">
        <f>0.91*1.23+1.6*1.23</f>
        <v>3.0872999999999999</v>
      </c>
      <c r="F69" s="454"/>
      <c r="G69" s="455"/>
      <c r="H69" s="454"/>
      <c r="I69" s="455"/>
      <c r="J69" s="454"/>
      <c r="K69" s="455"/>
      <c r="L69" s="455"/>
    </row>
    <row r="70" spans="1:12" s="79" customFormat="1">
      <c r="A70" s="362"/>
      <c r="B70" s="121" t="s">
        <v>42</v>
      </c>
      <c r="C70" s="362" t="s">
        <v>43</v>
      </c>
      <c r="D70" s="123">
        <v>7.65</v>
      </c>
      <c r="E70" s="124">
        <f>D70*E69</f>
        <v>23.617844999999999</v>
      </c>
      <c r="F70" s="125"/>
      <c r="G70" s="70"/>
      <c r="H70" s="125"/>
      <c r="I70" s="70">
        <f>H70*E70</f>
        <v>0</v>
      </c>
      <c r="J70" s="125"/>
      <c r="K70" s="70"/>
      <c r="L70" s="70">
        <f t="shared" ref="L70:L76" si="1">K70+I70+G70</f>
        <v>0</v>
      </c>
    </row>
    <row r="71" spans="1:12" s="74" customFormat="1">
      <c r="A71" s="173"/>
      <c r="B71" s="52" t="s">
        <v>45</v>
      </c>
      <c r="C71" s="362" t="s">
        <v>2</v>
      </c>
      <c r="D71" s="365">
        <v>0.34799999999999998</v>
      </c>
      <c r="E71" s="101">
        <f>D71*E69</f>
        <v>1.0743803999999999</v>
      </c>
      <c r="F71" s="164"/>
      <c r="G71" s="55"/>
      <c r="H71" s="164"/>
      <c r="I71" s="55"/>
      <c r="J71" s="70"/>
      <c r="K71" s="70">
        <f>E71*J71</f>
        <v>0</v>
      </c>
      <c r="L71" s="70">
        <f t="shared" si="1"/>
        <v>0</v>
      </c>
    </row>
    <row r="72" spans="1:12" s="74" customFormat="1" ht="57" customHeight="1">
      <c r="A72" s="173"/>
      <c r="B72" s="174" t="s">
        <v>312</v>
      </c>
      <c r="C72" s="362" t="s">
        <v>138</v>
      </c>
      <c r="D72" s="365">
        <v>1</v>
      </c>
      <c r="E72" s="101">
        <f>D72*E69</f>
        <v>3.0872999999999999</v>
      </c>
      <c r="F72" s="125"/>
      <c r="G72" s="70">
        <f>F72*E72</f>
        <v>0</v>
      </c>
      <c r="H72" s="164"/>
      <c r="I72" s="55"/>
      <c r="J72" s="164"/>
      <c r="K72" s="55"/>
      <c r="L72" s="70">
        <f t="shared" si="1"/>
        <v>0</v>
      </c>
    </row>
    <row r="73" spans="1:12" s="74" customFormat="1" ht="31.5" customHeight="1">
      <c r="A73" s="173"/>
      <c r="B73" s="174" t="s">
        <v>142</v>
      </c>
      <c r="C73" s="362" t="s">
        <v>57</v>
      </c>
      <c r="D73" s="365">
        <v>0.55000000000000004</v>
      </c>
      <c r="E73" s="101">
        <f>D73*E69</f>
        <v>1.6980150000000001</v>
      </c>
      <c r="F73" s="101"/>
      <c r="G73" s="127">
        <f>F73*E73</f>
        <v>0</v>
      </c>
      <c r="H73" s="101"/>
      <c r="I73" s="127"/>
      <c r="J73" s="101"/>
      <c r="K73" s="127"/>
      <c r="L73" s="127">
        <f t="shared" si="1"/>
        <v>0</v>
      </c>
    </row>
    <row r="74" spans="1:12" s="74" customFormat="1" ht="31.5" customHeight="1">
      <c r="A74" s="173"/>
      <c r="B74" s="52" t="s">
        <v>64</v>
      </c>
      <c r="C74" s="116" t="s">
        <v>57</v>
      </c>
      <c r="D74" s="118">
        <v>0.49</v>
      </c>
      <c r="E74" s="101">
        <f>D74*E69</f>
        <v>1.512777</v>
      </c>
      <c r="F74" s="101"/>
      <c r="G74" s="127">
        <f>F74*E74</f>
        <v>0</v>
      </c>
      <c r="H74" s="101"/>
      <c r="I74" s="127"/>
      <c r="J74" s="101"/>
      <c r="K74" s="127"/>
      <c r="L74" s="127">
        <f t="shared" si="1"/>
        <v>0</v>
      </c>
    </row>
    <row r="75" spans="1:12" s="74" customFormat="1" ht="31.5" customHeight="1">
      <c r="A75" s="173"/>
      <c r="B75" s="174" t="s">
        <v>56</v>
      </c>
      <c r="C75" s="362" t="s">
        <v>57</v>
      </c>
      <c r="D75" s="365">
        <v>0.04</v>
      </c>
      <c r="E75" s="101">
        <f>D75*E69</f>
        <v>0.123492</v>
      </c>
      <c r="F75" s="139"/>
      <c r="G75" s="127">
        <f>F75*E75</f>
        <v>0</v>
      </c>
      <c r="H75" s="101"/>
      <c r="I75" s="127"/>
      <c r="J75" s="101"/>
      <c r="K75" s="127"/>
      <c r="L75" s="127">
        <f t="shared" si="1"/>
        <v>0</v>
      </c>
    </row>
    <row r="76" spans="1:12" s="9" customFormat="1">
      <c r="A76" s="166"/>
      <c r="B76" s="52" t="s">
        <v>51</v>
      </c>
      <c r="C76" s="362" t="s">
        <v>2</v>
      </c>
      <c r="D76" s="220">
        <v>0.65600000000000003</v>
      </c>
      <c r="E76" s="101">
        <f>D76*E69</f>
        <v>2.0252688000000001</v>
      </c>
      <c r="F76" s="101"/>
      <c r="G76" s="70">
        <f>F76*E76</f>
        <v>0</v>
      </c>
      <c r="H76" s="125"/>
      <c r="I76" s="70"/>
      <c r="J76" s="125"/>
      <c r="K76" s="70"/>
      <c r="L76" s="70">
        <f t="shared" si="1"/>
        <v>0</v>
      </c>
    </row>
    <row r="77" spans="1:12" s="74" customFormat="1" ht="30.75" customHeight="1">
      <c r="A77" s="450">
        <v>22</v>
      </c>
      <c r="B77" s="312" t="s">
        <v>214</v>
      </c>
      <c r="C77" s="321" t="s">
        <v>146</v>
      </c>
      <c r="D77" s="452"/>
      <c r="E77" s="453">
        <f>0.85*2</f>
        <v>1.7</v>
      </c>
      <c r="F77" s="454"/>
      <c r="G77" s="455"/>
      <c r="H77" s="454"/>
      <c r="I77" s="455"/>
      <c r="J77" s="454"/>
      <c r="K77" s="455"/>
      <c r="L77" s="455"/>
    </row>
    <row r="78" spans="1:12" s="79" customFormat="1">
      <c r="A78" s="523"/>
      <c r="B78" s="121" t="s">
        <v>42</v>
      </c>
      <c r="C78" s="523" t="s">
        <v>43</v>
      </c>
      <c r="D78" s="123">
        <v>7.65</v>
      </c>
      <c r="E78" s="124">
        <f>D78*E77</f>
        <v>13.005000000000001</v>
      </c>
      <c r="F78" s="125"/>
      <c r="G78" s="70"/>
      <c r="H78" s="125"/>
      <c r="I78" s="70">
        <f>H78*E78</f>
        <v>0</v>
      </c>
      <c r="J78" s="125"/>
      <c r="K78" s="70"/>
      <c r="L78" s="70">
        <f t="shared" ref="L78:L84" si="2">K78+I78+G78</f>
        <v>0</v>
      </c>
    </row>
    <row r="79" spans="1:12" s="74" customFormat="1">
      <c r="A79" s="173"/>
      <c r="B79" s="52" t="s">
        <v>45</v>
      </c>
      <c r="C79" s="523" t="s">
        <v>2</v>
      </c>
      <c r="D79" s="524">
        <v>0.34799999999999998</v>
      </c>
      <c r="E79" s="101">
        <f>D79*E77</f>
        <v>0.5915999999999999</v>
      </c>
      <c r="F79" s="164"/>
      <c r="G79" s="55"/>
      <c r="H79" s="164"/>
      <c r="I79" s="55"/>
      <c r="J79" s="70"/>
      <c r="K79" s="70">
        <f>E79*J79</f>
        <v>0</v>
      </c>
      <c r="L79" s="70">
        <f t="shared" si="2"/>
        <v>0</v>
      </c>
    </row>
    <row r="80" spans="1:12" s="74" customFormat="1" ht="24.6" customHeight="1">
      <c r="A80" s="173"/>
      <c r="B80" s="174" t="s">
        <v>215</v>
      </c>
      <c r="C80" s="523" t="s">
        <v>138</v>
      </c>
      <c r="D80" s="524">
        <v>1</v>
      </c>
      <c r="E80" s="101">
        <f>D80*E77</f>
        <v>1.7</v>
      </c>
      <c r="F80" s="125"/>
      <c r="G80" s="55">
        <f>F80*E80</f>
        <v>0</v>
      </c>
      <c r="H80" s="164"/>
      <c r="I80" s="55"/>
      <c r="J80" s="164"/>
      <c r="K80" s="55"/>
      <c r="L80" s="70">
        <f t="shared" si="2"/>
        <v>0</v>
      </c>
    </row>
    <row r="81" spans="1:12" s="74" customFormat="1" ht="31.5" customHeight="1">
      <c r="A81" s="173"/>
      <c r="B81" s="174" t="s">
        <v>142</v>
      </c>
      <c r="C81" s="523" t="s">
        <v>57</v>
      </c>
      <c r="D81" s="524">
        <v>0.55000000000000004</v>
      </c>
      <c r="E81" s="101">
        <f>D81*E77</f>
        <v>0.93500000000000005</v>
      </c>
      <c r="F81" s="101"/>
      <c r="G81" s="127">
        <f>F81*E81</f>
        <v>0</v>
      </c>
      <c r="H81" s="101"/>
      <c r="I81" s="127"/>
      <c r="J81" s="101"/>
      <c r="K81" s="127"/>
      <c r="L81" s="127">
        <f t="shared" si="2"/>
        <v>0</v>
      </c>
    </row>
    <row r="82" spans="1:12" s="74" customFormat="1" ht="31.5" customHeight="1">
      <c r="A82" s="173"/>
      <c r="B82" s="52" t="s">
        <v>64</v>
      </c>
      <c r="C82" s="116" t="s">
        <v>57</v>
      </c>
      <c r="D82" s="118">
        <v>0.49</v>
      </c>
      <c r="E82" s="101">
        <f>D82*E77</f>
        <v>0.83299999999999996</v>
      </c>
      <c r="F82" s="101"/>
      <c r="G82" s="127">
        <f>F82*E82</f>
        <v>0</v>
      </c>
      <c r="H82" s="101"/>
      <c r="I82" s="127"/>
      <c r="J82" s="101"/>
      <c r="K82" s="127"/>
      <c r="L82" s="127">
        <f t="shared" si="2"/>
        <v>0</v>
      </c>
    </row>
    <row r="83" spans="1:12" s="74" customFormat="1" ht="31.5" customHeight="1">
      <c r="A83" s="173"/>
      <c r="B83" s="174" t="s">
        <v>56</v>
      </c>
      <c r="C83" s="523" t="s">
        <v>57</v>
      </c>
      <c r="D83" s="524">
        <v>0.04</v>
      </c>
      <c r="E83" s="101">
        <f>D83*E77</f>
        <v>6.8000000000000005E-2</v>
      </c>
      <c r="F83" s="139"/>
      <c r="G83" s="127">
        <f>F83*E83</f>
        <v>0</v>
      </c>
      <c r="H83" s="101"/>
      <c r="I83" s="127"/>
      <c r="J83" s="101"/>
      <c r="K83" s="127"/>
      <c r="L83" s="127">
        <f t="shared" si="2"/>
        <v>0</v>
      </c>
    </row>
    <row r="84" spans="1:12" s="9" customFormat="1">
      <c r="A84" s="166"/>
      <c r="B84" s="52" t="s">
        <v>51</v>
      </c>
      <c r="C84" s="523" t="s">
        <v>2</v>
      </c>
      <c r="D84" s="220">
        <v>0.65600000000000003</v>
      </c>
      <c r="E84" s="101">
        <f>D84*E77</f>
        <v>1.1152</v>
      </c>
      <c r="F84" s="101"/>
      <c r="G84" s="70">
        <f>F84*E84</f>
        <v>0</v>
      </c>
      <c r="H84" s="125"/>
      <c r="I84" s="70"/>
      <c r="J84" s="125"/>
      <c r="K84" s="70"/>
      <c r="L84" s="70">
        <f t="shared" si="2"/>
        <v>0</v>
      </c>
    </row>
    <row r="85" spans="1:12" s="9" customFormat="1" ht="32.4" customHeight="1">
      <c r="A85" s="450">
        <v>23</v>
      </c>
      <c r="B85" s="320" t="s">
        <v>216</v>
      </c>
      <c r="C85" s="321" t="s">
        <v>146</v>
      </c>
      <c r="D85" s="464"/>
      <c r="E85" s="453">
        <f>0.7*2.1+0.8*2.1</f>
        <v>3.1500000000000004</v>
      </c>
      <c r="F85" s="465"/>
      <c r="G85" s="466"/>
      <c r="H85" s="465"/>
      <c r="I85" s="466"/>
      <c r="J85" s="465"/>
      <c r="K85" s="466"/>
      <c r="L85" s="466"/>
    </row>
    <row r="86" spans="1:12" s="74" customFormat="1">
      <c r="A86" s="166"/>
      <c r="B86" s="121" t="s">
        <v>70</v>
      </c>
      <c r="C86" s="1095" t="s">
        <v>61</v>
      </c>
      <c r="D86" s="365"/>
      <c r="E86" s="101">
        <v>2</v>
      </c>
      <c r="F86" s="139"/>
      <c r="G86" s="143"/>
      <c r="H86" s="139"/>
      <c r="I86" s="143">
        <f>H86*E86</f>
        <v>0</v>
      </c>
      <c r="J86" s="139"/>
      <c r="K86" s="143"/>
      <c r="L86" s="143">
        <f>K86+I86+G86</f>
        <v>0</v>
      </c>
    </row>
    <row r="87" spans="1:12" s="74" customFormat="1">
      <c r="A87" s="147"/>
      <c r="B87" s="121" t="s">
        <v>49</v>
      </c>
      <c r="C87" s="362" t="s">
        <v>2</v>
      </c>
      <c r="D87" s="365">
        <v>0.13</v>
      </c>
      <c r="E87" s="101">
        <f>D87*E85</f>
        <v>0.40950000000000009</v>
      </c>
      <c r="F87" s="141"/>
      <c r="G87" s="142"/>
      <c r="H87" s="172"/>
      <c r="I87" s="140"/>
      <c r="J87" s="172"/>
      <c r="K87" s="140">
        <f>E87*J87</f>
        <v>0</v>
      </c>
      <c r="L87" s="140">
        <f>K87+I87+G87</f>
        <v>0</v>
      </c>
    </row>
    <row r="88" spans="1:12" s="9" customFormat="1" ht="28.8">
      <c r="A88" s="166"/>
      <c r="B88" s="174" t="s">
        <v>414</v>
      </c>
      <c r="C88" s="362" t="s">
        <v>61</v>
      </c>
      <c r="D88" s="220"/>
      <c r="E88" s="101">
        <v>2</v>
      </c>
      <c r="F88" s="139"/>
      <c r="G88" s="143">
        <f>E88*F88</f>
        <v>0</v>
      </c>
      <c r="H88" s="139"/>
      <c r="I88" s="143"/>
      <c r="J88" s="139"/>
      <c r="K88" s="143"/>
      <c r="L88" s="143">
        <f>K88+I88+G88</f>
        <v>0</v>
      </c>
    </row>
    <row r="89" spans="1:12" s="74" customFormat="1">
      <c r="A89" s="147"/>
      <c r="B89" s="121" t="s">
        <v>51</v>
      </c>
      <c r="C89" s="122" t="s">
        <v>2</v>
      </c>
      <c r="D89" s="365">
        <v>2.06E-2</v>
      </c>
      <c r="E89" s="101">
        <f>D89*E85</f>
        <v>6.4890000000000003E-2</v>
      </c>
      <c r="F89" s="172"/>
      <c r="G89" s="140">
        <f>E89*F89</f>
        <v>0</v>
      </c>
      <c r="H89" s="172"/>
      <c r="I89" s="140"/>
      <c r="J89" s="172"/>
      <c r="K89" s="140"/>
      <c r="L89" s="140">
        <f>K89+I89+G89</f>
        <v>0</v>
      </c>
    </row>
    <row r="90" spans="1:12" s="10" customFormat="1" ht="30">
      <c r="A90" s="450">
        <v>24</v>
      </c>
      <c r="B90" s="312" t="s">
        <v>73</v>
      </c>
      <c r="C90" s="321" t="s">
        <v>146</v>
      </c>
      <c r="D90" s="311"/>
      <c r="E90" s="451">
        <v>35</v>
      </c>
      <c r="F90" s="327"/>
      <c r="G90" s="328"/>
      <c r="H90" s="327"/>
      <c r="I90" s="328"/>
      <c r="J90" s="327"/>
      <c r="K90" s="328"/>
      <c r="L90" s="328"/>
    </row>
    <row r="91" spans="1:12" s="11" customFormat="1" ht="17.399999999999999">
      <c r="A91" s="362"/>
      <c r="B91" s="121" t="s">
        <v>42</v>
      </c>
      <c r="C91" s="947" t="s">
        <v>138</v>
      </c>
      <c r="D91" s="703">
        <v>1</v>
      </c>
      <c r="E91" s="124">
        <f>D91*E90</f>
        <v>35</v>
      </c>
      <c r="F91" s="125"/>
      <c r="G91" s="70"/>
      <c r="H91" s="125"/>
      <c r="I91" s="70">
        <f>H91*E91</f>
        <v>0</v>
      </c>
      <c r="J91" s="125"/>
      <c r="K91" s="70"/>
      <c r="L91" s="70">
        <f>K91+I91+G91</f>
        <v>0</v>
      </c>
    </row>
    <row r="92" spans="1:12" s="11" customFormat="1">
      <c r="A92" s="362"/>
      <c r="B92" s="121" t="s">
        <v>45</v>
      </c>
      <c r="C92" s="122" t="s">
        <v>2</v>
      </c>
      <c r="D92" s="133">
        <f>0.027</f>
        <v>2.7E-2</v>
      </c>
      <c r="E92" s="134">
        <f>D92*E90</f>
        <v>0.94499999999999995</v>
      </c>
      <c r="F92" s="125"/>
      <c r="G92" s="70"/>
      <c r="H92" s="125"/>
      <c r="I92" s="70"/>
      <c r="J92" s="125"/>
      <c r="K92" s="70">
        <f>E92*J92</f>
        <v>0</v>
      </c>
      <c r="L92" s="70">
        <f>K92+I92+G92</f>
        <v>0</v>
      </c>
    </row>
    <row r="93" spans="1:12" s="5" customFormat="1" ht="17.399999999999999">
      <c r="A93" s="362"/>
      <c r="B93" s="52" t="s">
        <v>74</v>
      </c>
      <c r="C93" s="122" t="s">
        <v>139</v>
      </c>
      <c r="D93" s="703">
        <f>0.0238*1.05</f>
        <v>2.4990000000000002E-2</v>
      </c>
      <c r="E93" s="125">
        <f>D93*E90</f>
        <v>0.87465000000000004</v>
      </c>
      <c r="F93" s="818"/>
      <c r="G93" s="70"/>
      <c r="H93" s="125"/>
      <c r="I93" s="70"/>
      <c r="J93" s="125"/>
      <c r="K93" s="70"/>
      <c r="L93" s="70">
        <f>K93+I93+G93</f>
        <v>0</v>
      </c>
    </row>
    <row r="94" spans="1:12" s="11" customFormat="1">
      <c r="A94" s="362"/>
      <c r="B94" s="121" t="s">
        <v>51</v>
      </c>
      <c r="C94" s="122" t="s">
        <v>2</v>
      </c>
      <c r="D94" s="133">
        <v>3.0000000000000001E-3</v>
      </c>
      <c r="E94" s="134">
        <f>D94*E90</f>
        <v>0.105</v>
      </c>
      <c r="F94" s="125"/>
      <c r="G94" s="70">
        <f>E94*F94</f>
        <v>0</v>
      </c>
      <c r="H94" s="125"/>
      <c r="I94" s="70"/>
      <c r="J94" s="125"/>
      <c r="K94" s="70"/>
      <c r="L94" s="70">
        <f>K94+I94+G94</f>
        <v>0</v>
      </c>
    </row>
    <row r="95" spans="1:12" s="74" customFormat="1" ht="17.399999999999999">
      <c r="A95" s="450">
        <v>25</v>
      </c>
      <c r="B95" s="312" t="s">
        <v>75</v>
      </c>
      <c r="C95" s="321" t="s">
        <v>146</v>
      </c>
      <c r="D95" s="452"/>
      <c r="E95" s="467">
        <v>8</v>
      </c>
      <c r="F95" s="454"/>
      <c r="G95" s="473"/>
      <c r="H95" s="454"/>
      <c r="I95" s="455"/>
      <c r="J95" s="454"/>
      <c r="K95" s="455"/>
      <c r="L95" s="497"/>
    </row>
    <row r="96" spans="1:12" s="74" customFormat="1" ht="17.399999999999999">
      <c r="A96" s="362"/>
      <c r="B96" s="121" t="s">
        <v>70</v>
      </c>
      <c r="C96" s="702" t="s">
        <v>138</v>
      </c>
      <c r="D96" s="703">
        <v>1</v>
      </c>
      <c r="E96" s="125">
        <f>E95*D96</f>
        <v>8</v>
      </c>
      <c r="F96" s="125"/>
      <c r="G96" s="70"/>
      <c r="H96" s="125"/>
      <c r="I96" s="70">
        <f>H96*E96</f>
        <v>0</v>
      </c>
      <c r="J96" s="125"/>
      <c r="K96" s="70"/>
      <c r="L96" s="70">
        <f>K96+I96+G96</f>
        <v>0</v>
      </c>
    </row>
    <row r="97" spans="1:17" s="74" customFormat="1">
      <c r="A97" s="116"/>
      <c r="B97" s="121" t="s">
        <v>49</v>
      </c>
      <c r="C97" s="362" t="s">
        <v>2</v>
      </c>
      <c r="D97" s="703">
        <v>0.01</v>
      </c>
      <c r="E97" s="101">
        <f>D97*E95</f>
        <v>0.08</v>
      </c>
      <c r="F97" s="100"/>
      <c r="G97" s="127"/>
      <c r="H97" s="101"/>
      <c r="I97" s="136"/>
      <c r="J97" s="101"/>
      <c r="K97" s="127">
        <f>J97*E97</f>
        <v>0</v>
      </c>
      <c r="L97" s="127">
        <f>K97+I97+G97</f>
        <v>0</v>
      </c>
    </row>
    <row r="98" spans="1:17" s="74" customFormat="1">
      <c r="A98" s="366"/>
      <c r="B98" s="52" t="s">
        <v>76</v>
      </c>
      <c r="C98" s="165" t="s">
        <v>57</v>
      </c>
      <c r="D98" s="267">
        <f>63/1.3*0.01</f>
        <v>0.48461538461538461</v>
      </c>
      <c r="E98" s="1110">
        <f>D98*E95</f>
        <v>3.8769230769230769</v>
      </c>
      <c r="F98" s="125"/>
      <c r="G98" s="70">
        <f>F98*E98</f>
        <v>0</v>
      </c>
      <c r="H98" s="164"/>
      <c r="I98" s="55"/>
      <c r="J98" s="164"/>
      <c r="K98" s="55"/>
      <c r="L98" s="70">
        <f>K98+I98+G98</f>
        <v>0</v>
      </c>
    </row>
    <row r="99" spans="1:17" s="74" customFormat="1">
      <c r="A99" s="839"/>
      <c r="B99" s="832" t="s">
        <v>82</v>
      </c>
      <c r="C99" s="870" t="s">
        <v>57</v>
      </c>
      <c r="D99" s="871">
        <v>0.63</v>
      </c>
      <c r="E99" s="1111">
        <f>D99*E95</f>
        <v>5.04</v>
      </c>
      <c r="F99" s="824"/>
      <c r="G99" s="827">
        <f>E99*F99</f>
        <v>0</v>
      </c>
      <c r="H99" s="135"/>
      <c r="I99" s="136"/>
      <c r="J99" s="135"/>
      <c r="K99" s="136"/>
      <c r="L99" s="70">
        <f>K99+I99+G99</f>
        <v>0</v>
      </c>
    </row>
    <row r="100" spans="1:17" s="74" customFormat="1">
      <c r="A100" s="116"/>
      <c r="B100" s="121" t="s">
        <v>51</v>
      </c>
      <c r="C100" s="122" t="s">
        <v>2</v>
      </c>
      <c r="D100" s="118">
        <v>1.6E-2</v>
      </c>
      <c r="E100" s="101">
        <f>D100*E95</f>
        <v>0.128</v>
      </c>
      <c r="F100" s="101"/>
      <c r="G100" s="127">
        <f>E100*F100</f>
        <v>0</v>
      </c>
      <c r="H100" s="135"/>
      <c r="I100" s="136"/>
      <c r="J100" s="135"/>
      <c r="K100" s="136"/>
      <c r="L100" s="70">
        <f>K100+I100+G100</f>
        <v>0</v>
      </c>
    </row>
    <row r="101" spans="1:17" s="448" customFormat="1" ht="30">
      <c r="A101" s="810">
        <v>26</v>
      </c>
      <c r="B101" s="811" t="s">
        <v>365</v>
      </c>
      <c r="C101" s="313" t="s">
        <v>138</v>
      </c>
      <c r="D101" s="873"/>
      <c r="E101" s="1023">
        <v>21</v>
      </c>
      <c r="F101" s="813"/>
      <c r="G101" s="813"/>
      <c r="H101" s="813"/>
      <c r="I101" s="813"/>
      <c r="J101" s="813"/>
      <c r="K101" s="813"/>
      <c r="L101" s="813"/>
    </row>
    <row r="102" spans="1:17" s="1097" customFormat="1" ht="17.399999999999999">
      <c r="A102" s="814"/>
      <c r="B102" s="835" t="s">
        <v>42</v>
      </c>
      <c r="C102" s="814" t="s">
        <v>138</v>
      </c>
      <c r="D102" s="867">
        <v>1</v>
      </c>
      <c r="E102" s="846">
        <f>D102*E101</f>
        <v>21</v>
      </c>
      <c r="F102" s="824"/>
      <c r="G102" s="818"/>
      <c r="H102" s="824"/>
      <c r="I102" s="818">
        <f>H102*E102</f>
        <v>0</v>
      </c>
      <c r="J102" s="824"/>
      <c r="K102" s="818"/>
      <c r="L102" s="818">
        <f t="shared" ref="L102:L103" si="3">K102+I102+G102</f>
        <v>0</v>
      </c>
      <c r="M102" s="470"/>
      <c r="N102" s="197"/>
      <c r="O102" s="284"/>
      <c r="P102" s="470"/>
      <c r="Q102" s="470"/>
    </row>
    <row r="103" spans="1:17" s="1092" customFormat="1">
      <c r="A103" s="814"/>
      <c r="B103" s="835" t="s">
        <v>366</v>
      </c>
      <c r="C103" s="816" t="s">
        <v>2</v>
      </c>
      <c r="D103" s="862">
        <v>4.2500000000000003E-2</v>
      </c>
      <c r="E103" s="842">
        <f>D103*E101</f>
        <v>0.89250000000000007</v>
      </c>
      <c r="F103" s="824"/>
      <c r="G103" s="818"/>
      <c r="H103" s="824"/>
      <c r="I103" s="818"/>
      <c r="J103" s="824"/>
      <c r="K103" s="818">
        <f>E103*J103</f>
        <v>0</v>
      </c>
      <c r="L103" s="818">
        <f t="shared" si="3"/>
        <v>0</v>
      </c>
      <c r="M103" s="471"/>
      <c r="N103" s="197"/>
      <c r="O103" s="284"/>
      <c r="P103" s="471"/>
      <c r="Q103" s="471"/>
    </row>
    <row r="104" spans="1:17" s="1092" customFormat="1" ht="17.399999999999999">
      <c r="A104" s="814"/>
      <c r="B104" s="835" t="s">
        <v>407</v>
      </c>
      <c r="C104" s="814" t="s">
        <v>138</v>
      </c>
      <c r="D104" s="862">
        <v>1.05</v>
      </c>
      <c r="E104" s="842">
        <f>D104*E101</f>
        <v>22.05</v>
      </c>
      <c r="F104" s="824"/>
      <c r="G104" s="818">
        <f>E104*F104</f>
        <v>0</v>
      </c>
      <c r="H104" s="818"/>
      <c r="I104" s="818"/>
      <c r="J104" s="818"/>
      <c r="K104" s="818"/>
      <c r="L104" s="818">
        <f>K104+I104+G104</f>
        <v>0</v>
      </c>
      <c r="M104" s="471"/>
      <c r="N104" s="197"/>
      <c r="O104" s="284"/>
      <c r="P104" s="471"/>
      <c r="Q104" s="471"/>
    </row>
    <row r="105" spans="1:17" s="247" customFormat="1" ht="16.2">
      <c r="A105" s="814"/>
      <c r="B105" s="819" t="s">
        <v>77</v>
      </c>
      <c r="C105" s="816" t="s">
        <v>57</v>
      </c>
      <c r="D105" s="820">
        <v>12.5</v>
      </c>
      <c r="E105" s="818">
        <f>D105*E101</f>
        <v>262.5</v>
      </c>
      <c r="F105" s="818"/>
      <c r="G105" s="818">
        <f>E105*F105</f>
        <v>0</v>
      </c>
      <c r="H105" s="818"/>
      <c r="I105" s="818"/>
      <c r="J105" s="818"/>
      <c r="K105" s="818"/>
      <c r="L105" s="818">
        <f>K105+I105+G105</f>
        <v>0</v>
      </c>
    </row>
    <row r="106" spans="1:17" s="409" customFormat="1">
      <c r="A106" s="814"/>
      <c r="B106" s="815" t="s">
        <v>51</v>
      </c>
      <c r="C106" s="816" t="s">
        <v>2</v>
      </c>
      <c r="D106" s="833">
        <v>5.4600000000000003E-2</v>
      </c>
      <c r="E106" s="834">
        <f>D106*E101</f>
        <v>1.1466000000000001</v>
      </c>
      <c r="F106" s="818"/>
      <c r="G106" s="818">
        <f>E106*F106</f>
        <v>0</v>
      </c>
      <c r="H106" s="818"/>
      <c r="I106" s="818"/>
      <c r="J106" s="818"/>
      <c r="K106" s="818"/>
      <c r="L106" s="818">
        <f>K106+I106+G106</f>
        <v>0</v>
      </c>
    </row>
    <row r="107" spans="1:17" s="74" customFormat="1" ht="45">
      <c r="A107" s="828">
        <v>27</v>
      </c>
      <c r="B107" s="1085" t="s">
        <v>427</v>
      </c>
      <c r="C107" s="810" t="s">
        <v>146</v>
      </c>
      <c r="D107" s="1129"/>
      <c r="E107" s="1130">
        <v>19.14</v>
      </c>
      <c r="F107" s="1131"/>
      <c r="G107" s="830"/>
      <c r="H107" s="1131"/>
      <c r="I107" s="830"/>
      <c r="J107" s="1131"/>
      <c r="K107" s="830"/>
      <c r="L107" s="830"/>
      <c r="M107" s="197"/>
      <c r="N107" s="197"/>
      <c r="O107" s="284"/>
      <c r="P107" s="197"/>
      <c r="Q107" s="197"/>
    </row>
    <row r="108" spans="1:17" s="74" customFormat="1" ht="17.399999999999999">
      <c r="A108" s="822"/>
      <c r="B108" s="835" t="s">
        <v>70</v>
      </c>
      <c r="C108" s="814" t="s">
        <v>149</v>
      </c>
      <c r="D108" s="840">
        <v>1</v>
      </c>
      <c r="E108" s="846">
        <f>D108*E107</f>
        <v>19.14</v>
      </c>
      <c r="F108" s="826"/>
      <c r="G108" s="825"/>
      <c r="H108" s="1091"/>
      <c r="I108" s="827">
        <f>H108*E108</f>
        <v>0</v>
      </c>
      <c r="J108" s="826"/>
      <c r="K108" s="825"/>
      <c r="L108" s="827">
        <f t="shared" ref="L108:L114" si="4">K108+I108+G108</f>
        <v>0</v>
      </c>
      <c r="M108" s="197"/>
      <c r="N108" s="197"/>
      <c r="O108" s="284"/>
      <c r="P108" s="197"/>
      <c r="Q108" s="197"/>
    </row>
    <row r="109" spans="1:17" s="74" customFormat="1">
      <c r="A109" s="822"/>
      <c r="B109" s="835" t="s">
        <v>49</v>
      </c>
      <c r="C109" s="814" t="s">
        <v>66</v>
      </c>
      <c r="D109" s="823">
        <v>0.02</v>
      </c>
      <c r="E109" s="838">
        <f>D109*E107</f>
        <v>0.38280000000000003</v>
      </c>
      <c r="F109" s="1132"/>
      <c r="G109" s="825"/>
      <c r="H109" s="838"/>
      <c r="I109" s="825"/>
      <c r="J109" s="838"/>
      <c r="K109" s="827">
        <f>J109*E109</f>
        <v>0</v>
      </c>
      <c r="L109" s="827">
        <f t="shared" si="4"/>
        <v>0</v>
      </c>
      <c r="M109" s="197"/>
      <c r="N109" s="41"/>
      <c r="O109" s="284"/>
      <c r="P109" s="197"/>
      <c r="Q109" s="197"/>
    </row>
    <row r="110" spans="1:17" s="74" customFormat="1" ht="28.2">
      <c r="A110" s="822"/>
      <c r="B110" s="835" t="s">
        <v>413</v>
      </c>
      <c r="C110" s="814" t="s">
        <v>149</v>
      </c>
      <c r="D110" s="823">
        <v>1.02</v>
      </c>
      <c r="E110" s="838">
        <f>1.43*1.02*2.8</f>
        <v>4.0840799999999993</v>
      </c>
      <c r="F110" s="838"/>
      <c r="G110" s="827">
        <f>F110*E110</f>
        <v>0</v>
      </c>
      <c r="H110" s="838"/>
      <c r="I110" s="825"/>
      <c r="J110" s="826"/>
      <c r="K110" s="825"/>
      <c r="L110" s="827">
        <f t="shared" si="4"/>
        <v>0</v>
      </c>
      <c r="M110" s="197"/>
      <c r="N110" s="197"/>
      <c r="O110" s="284"/>
      <c r="P110" s="197"/>
      <c r="Q110" s="197"/>
    </row>
    <row r="111" spans="1:17" s="74" customFormat="1" ht="41.4">
      <c r="A111" s="822"/>
      <c r="B111" s="835" t="s">
        <v>428</v>
      </c>
      <c r="C111" s="814" t="s">
        <v>149</v>
      </c>
      <c r="D111" s="823">
        <v>1.02</v>
      </c>
      <c r="E111" s="838">
        <f>D111*E108-E110</f>
        <v>15.43872</v>
      </c>
      <c r="F111" s="838"/>
      <c r="G111" s="827">
        <f>F111*E111</f>
        <v>0</v>
      </c>
      <c r="H111" s="838"/>
      <c r="I111" s="825"/>
      <c r="J111" s="826"/>
      <c r="K111" s="825"/>
      <c r="L111" s="827">
        <f t="shared" si="4"/>
        <v>0</v>
      </c>
      <c r="M111" s="197"/>
      <c r="N111" s="197"/>
      <c r="O111" s="284"/>
      <c r="P111" s="197"/>
      <c r="Q111" s="197"/>
    </row>
    <row r="112" spans="1:17" s="74" customFormat="1">
      <c r="A112" s="822"/>
      <c r="B112" s="1094" t="s">
        <v>77</v>
      </c>
      <c r="C112" s="1088" t="s">
        <v>57</v>
      </c>
      <c r="D112" s="823">
        <v>6.25</v>
      </c>
      <c r="E112" s="838">
        <f>D112*E107</f>
        <v>119.625</v>
      </c>
      <c r="F112" s="824"/>
      <c r="G112" s="827">
        <f>F112*E112</f>
        <v>0</v>
      </c>
      <c r="H112" s="838"/>
      <c r="I112" s="825"/>
      <c r="J112" s="826"/>
      <c r="K112" s="825"/>
      <c r="L112" s="827">
        <f t="shared" si="4"/>
        <v>0</v>
      </c>
      <c r="M112" s="197"/>
      <c r="N112" s="197"/>
      <c r="O112" s="284"/>
      <c r="P112" s="197"/>
      <c r="Q112" s="197"/>
    </row>
    <row r="113" spans="1:17" s="74" customFormat="1">
      <c r="A113" s="822"/>
      <c r="B113" s="1094" t="s">
        <v>429</v>
      </c>
      <c r="C113" s="1088" t="s">
        <v>57</v>
      </c>
      <c r="D113" s="823">
        <v>0.2</v>
      </c>
      <c r="E113" s="838">
        <f>D113*E107</f>
        <v>3.8280000000000003</v>
      </c>
      <c r="F113" s="824"/>
      <c r="G113" s="827">
        <f>F113*E113</f>
        <v>0</v>
      </c>
      <c r="H113" s="838"/>
      <c r="I113" s="825"/>
      <c r="J113" s="826"/>
      <c r="K113" s="825"/>
      <c r="L113" s="827">
        <f t="shared" si="4"/>
        <v>0</v>
      </c>
      <c r="M113" s="197"/>
      <c r="N113" s="197"/>
      <c r="O113" s="284"/>
      <c r="P113" s="197"/>
      <c r="Q113" s="197"/>
    </row>
    <row r="114" spans="1:17" s="74" customFormat="1">
      <c r="A114" s="822"/>
      <c r="B114" s="835" t="s">
        <v>51</v>
      </c>
      <c r="C114" s="814" t="s">
        <v>66</v>
      </c>
      <c r="D114" s="823">
        <v>7.0000000000000001E-3</v>
      </c>
      <c r="E114" s="838">
        <f>D114*E107</f>
        <v>0.13398000000000002</v>
      </c>
      <c r="F114" s="838"/>
      <c r="G114" s="827">
        <f>F114*E114</f>
        <v>0</v>
      </c>
      <c r="H114" s="838"/>
      <c r="I114" s="825"/>
      <c r="J114" s="826"/>
      <c r="K114" s="825"/>
      <c r="L114" s="827">
        <f t="shared" si="4"/>
        <v>0</v>
      </c>
      <c r="M114" s="197"/>
      <c r="N114" s="197"/>
      <c r="O114" s="284"/>
      <c r="P114" s="197"/>
      <c r="Q114" s="197"/>
    </row>
    <row r="115" spans="1:17" s="77" customFormat="1" ht="45">
      <c r="A115" s="810">
        <v>28</v>
      </c>
      <c r="B115" s="869" t="s">
        <v>416</v>
      </c>
      <c r="C115" s="810" t="s">
        <v>146</v>
      </c>
      <c r="D115" s="938"/>
      <c r="E115" s="939">
        <v>2.39</v>
      </c>
      <c r="F115" s="940"/>
      <c r="G115" s="813"/>
      <c r="H115" s="940"/>
      <c r="I115" s="813"/>
      <c r="J115" s="940"/>
      <c r="K115" s="813"/>
      <c r="L115" s="813"/>
      <c r="M115" s="293"/>
      <c r="N115" s="197"/>
      <c r="O115" s="284"/>
      <c r="P115" s="293"/>
      <c r="Q115" s="293"/>
    </row>
    <row r="116" spans="1:17" s="74" customFormat="1">
      <c r="A116" s="814"/>
      <c r="B116" s="835" t="s">
        <v>42</v>
      </c>
      <c r="C116" s="814" t="s">
        <v>43</v>
      </c>
      <c r="D116" s="867">
        <v>3.14</v>
      </c>
      <c r="E116" s="846">
        <f>D116*E115</f>
        <v>7.5046000000000008</v>
      </c>
      <c r="F116" s="824"/>
      <c r="G116" s="818"/>
      <c r="H116" s="824"/>
      <c r="I116" s="818">
        <f>H116*E116</f>
        <v>0</v>
      </c>
      <c r="J116" s="824"/>
      <c r="K116" s="818"/>
      <c r="L116" s="818">
        <f t="shared" ref="L116:L127" si="5">K116+I116+G116</f>
        <v>0</v>
      </c>
      <c r="M116" s="197"/>
      <c r="N116" s="197"/>
      <c r="O116" s="284"/>
      <c r="P116" s="197"/>
      <c r="Q116" s="197"/>
    </row>
    <row r="117" spans="1:17" s="74" customFormat="1">
      <c r="A117" s="1118"/>
      <c r="B117" s="832" t="s">
        <v>49</v>
      </c>
      <c r="C117" s="868" t="s">
        <v>2</v>
      </c>
      <c r="D117" s="867">
        <v>0.106</v>
      </c>
      <c r="E117" s="1119">
        <f>D117*E115</f>
        <v>0.25334000000000001</v>
      </c>
      <c r="F117" s="1119"/>
      <c r="G117" s="1120"/>
      <c r="H117" s="1119"/>
      <c r="I117" s="1120"/>
      <c r="J117" s="1119"/>
      <c r="K117" s="1120">
        <f>J117*E117</f>
        <v>0</v>
      </c>
      <c r="L117" s="1120">
        <f t="shared" si="5"/>
        <v>0</v>
      </c>
      <c r="M117" s="197"/>
      <c r="N117" s="197"/>
      <c r="O117" s="284"/>
      <c r="P117" s="197"/>
      <c r="Q117" s="197"/>
    </row>
    <row r="118" spans="1:17" s="74" customFormat="1" ht="27.6">
      <c r="A118" s="814"/>
      <c r="B118" s="1094" t="s">
        <v>417</v>
      </c>
      <c r="C118" s="816" t="s">
        <v>65</v>
      </c>
      <c r="D118" s="862">
        <v>2.9</v>
      </c>
      <c r="E118" s="842">
        <f>D118*E115</f>
        <v>6.931</v>
      </c>
      <c r="F118" s="824"/>
      <c r="G118" s="818">
        <f t="shared" ref="G118:G123" si="6">F118*E118</f>
        <v>0</v>
      </c>
      <c r="H118" s="824"/>
      <c r="I118" s="818"/>
      <c r="J118" s="824"/>
      <c r="K118" s="818"/>
      <c r="L118" s="818">
        <f t="shared" si="5"/>
        <v>0</v>
      </c>
      <c r="M118" s="197"/>
      <c r="N118" s="197"/>
      <c r="O118" s="284"/>
      <c r="P118" s="197"/>
      <c r="Q118" s="197"/>
    </row>
    <row r="119" spans="1:17" s="74" customFormat="1" ht="41.4">
      <c r="A119" s="1118"/>
      <c r="B119" s="1094" t="s">
        <v>418</v>
      </c>
      <c r="C119" s="837" t="s">
        <v>65</v>
      </c>
      <c r="D119" s="1121"/>
      <c r="E119" s="844">
        <v>5.6</v>
      </c>
      <c r="F119" s="844"/>
      <c r="G119" s="1122">
        <f t="shared" si="6"/>
        <v>0</v>
      </c>
      <c r="H119" s="1123"/>
      <c r="I119" s="1124"/>
      <c r="J119" s="1123"/>
      <c r="K119" s="1124"/>
      <c r="L119" s="1124">
        <f t="shared" si="5"/>
        <v>0</v>
      </c>
      <c r="M119" s="197"/>
      <c r="N119" s="197"/>
      <c r="O119" s="284"/>
      <c r="P119" s="197"/>
      <c r="Q119" s="197"/>
    </row>
    <row r="120" spans="1:17" s="74" customFormat="1">
      <c r="A120" s="814"/>
      <c r="B120" s="835" t="s">
        <v>419</v>
      </c>
      <c r="C120" s="814" t="s">
        <v>61</v>
      </c>
      <c r="D120" s="862">
        <v>0.7</v>
      </c>
      <c r="E120" s="842">
        <f>D120*E115</f>
        <v>1.673</v>
      </c>
      <c r="F120" s="824"/>
      <c r="G120" s="818">
        <f t="shared" si="6"/>
        <v>0</v>
      </c>
      <c r="H120" s="824"/>
      <c r="I120" s="818"/>
      <c r="J120" s="824"/>
      <c r="K120" s="818"/>
      <c r="L120" s="818">
        <f t="shared" si="5"/>
        <v>0</v>
      </c>
      <c r="M120" s="197"/>
      <c r="N120" s="197"/>
      <c r="O120" s="284"/>
      <c r="P120" s="197"/>
      <c r="Q120" s="197"/>
    </row>
    <row r="121" spans="1:17" s="74" customFormat="1">
      <c r="A121" s="1125"/>
      <c r="B121" s="1126" t="s">
        <v>420</v>
      </c>
      <c r="C121" s="837" t="s">
        <v>61</v>
      </c>
      <c r="D121" s="1121">
        <v>0.7</v>
      </c>
      <c r="E121" s="844">
        <f>D121*E115</f>
        <v>1.673</v>
      </c>
      <c r="F121" s="844"/>
      <c r="G121" s="1122">
        <f t="shared" si="6"/>
        <v>0</v>
      </c>
      <c r="H121" s="1123"/>
      <c r="I121" s="1124"/>
      <c r="J121" s="1123"/>
      <c r="K121" s="1124"/>
      <c r="L121" s="1124">
        <f t="shared" si="5"/>
        <v>0</v>
      </c>
      <c r="M121" s="197"/>
      <c r="N121" s="197"/>
      <c r="O121" s="284"/>
      <c r="P121" s="197"/>
      <c r="Q121" s="197"/>
    </row>
    <row r="122" spans="1:17" s="74" customFormat="1">
      <c r="A122" s="814"/>
      <c r="B122" s="835" t="s">
        <v>421</v>
      </c>
      <c r="C122" s="814" t="s">
        <v>61</v>
      </c>
      <c r="D122" s="867">
        <v>0.7</v>
      </c>
      <c r="E122" s="846">
        <f>D122*E115</f>
        <v>1.673</v>
      </c>
      <c r="F122" s="844"/>
      <c r="G122" s="818">
        <f t="shared" si="6"/>
        <v>0</v>
      </c>
      <c r="H122" s="824"/>
      <c r="I122" s="818"/>
      <c r="J122" s="824"/>
      <c r="K122" s="818"/>
      <c r="L122" s="818">
        <f t="shared" si="5"/>
        <v>0</v>
      </c>
      <c r="M122" s="197"/>
      <c r="N122" s="197"/>
      <c r="O122" s="284"/>
      <c r="P122" s="197"/>
      <c r="Q122" s="197"/>
    </row>
    <row r="123" spans="1:17" s="74" customFormat="1" ht="27.6">
      <c r="A123" s="814"/>
      <c r="B123" s="1126" t="s">
        <v>422</v>
      </c>
      <c r="C123" s="816" t="s">
        <v>65</v>
      </c>
      <c r="D123" s="867">
        <v>1.2</v>
      </c>
      <c r="E123" s="842">
        <f>D123*E115</f>
        <v>2.8679999999999999</v>
      </c>
      <c r="F123" s="844"/>
      <c r="G123" s="818">
        <f t="shared" si="6"/>
        <v>0</v>
      </c>
      <c r="H123" s="824"/>
      <c r="I123" s="818"/>
      <c r="J123" s="824"/>
      <c r="K123" s="818"/>
      <c r="L123" s="818">
        <f t="shared" si="5"/>
        <v>0</v>
      </c>
      <c r="M123" s="197"/>
      <c r="N123" s="197"/>
      <c r="O123" s="284"/>
      <c r="P123" s="197"/>
      <c r="Q123" s="197"/>
    </row>
    <row r="124" spans="1:17" s="74" customFormat="1" ht="41.4">
      <c r="A124" s="814"/>
      <c r="B124" s="1126" t="s">
        <v>423</v>
      </c>
      <c r="C124" s="814" t="s">
        <v>138</v>
      </c>
      <c r="D124" s="862">
        <v>1.05</v>
      </c>
      <c r="E124" s="842">
        <f>D124*E115</f>
        <v>2.5095000000000001</v>
      </c>
      <c r="F124" s="844"/>
      <c r="G124" s="818">
        <f>F124*E124</f>
        <v>0</v>
      </c>
      <c r="H124" s="824"/>
      <c r="I124" s="818"/>
      <c r="J124" s="824"/>
      <c r="K124" s="818"/>
      <c r="L124" s="818">
        <f>K124+I124+G124</f>
        <v>0</v>
      </c>
      <c r="M124" s="197"/>
      <c r="N124" s="197"/>
      <c r="O124" s="284"/>
      <c r="P124" s="197"/>
      <c r="Q124" s="197"/>
    </row>
    <row r="125" spans="1:17" s="74" customFormat="1" ht="27" customHeight="1">
      <c r="A125" s="814"/>
      <c r="B125" s="1126" t="s">
        <v>424</v>
      </c>
      <c r="C125" s="814" t="s">
        <v>61</v>
      </c>
      <c r="D125" s="867">
        <v>23</v>
      </c>
      <c r="E125" s="846">
        <f>D125*E115</f>
        <v>54.970000000000006</v>
      </c>
      <c r="F125" s="824"/>
      <c r="G125" s="818">
        <f>F125*E125</f>
        <v>0</v>
      </c>
      <c r="H125" s="824"/>
      <c r="I125" s="818"/>
      <c r="J125" s="824"/>
      <c r="K125" s="818"/>
      <c r="L125" s="818">
        <f>K125+I125+G125</f>
        <v>0</v>
      </c>
      <c r="M125" s="197"/>
      <c r="N125" s="197"/>
      <c r="O125" s="284"/>
      <c r="P125" s="197"/>
      <c r="Q125" s="197"/>
    </row>
    <row r="126" spans="1:17" s="74" customFormat="1" ht="27.6">
      <c r="A126" s="1118"/>
      <c r="B126" s="1126" t="s">
        <v>425</v>
      </c>
      <c r="C126" s="837" t="s">
        <v>57</v>
      </c>
      <c r="D126" s="1121">
        <v>0.35</v>
      </c>
      <c r="E126" s="1123">
        <f>D126*E115</f>
        <v>0.83650000000000002</v>
      </c>
      <c r="F126" s="844"/>
      <c r="G126" s="1124">
        <f>F126*E126</f>
        <v>0</v>
      </c>
      <c r="H126" s="1127"/>
      <c r="I126" s="1128"/>
      <c r="J126" s="1127"/>
      <c r="K126" s="1128"/>
      <c r="L126" s="1124">
        <f>K126+I126+G126</f>
        <v>0</v>
      </c>
      <c r="M126" s="197"/>
      <c r="N126" s="197"/>
      <c r="O126" s="284"/>
      <c r="P126" s="197"/>
      <c r="Q126" s="197"/>
    </row>
    <row r="127" spans="1:17" s="74" customFormat="1">
      <c r="A127" s="822"/>
      <c r="B127" s="835" t="s">
        <v>51</v>
      </c>
      <c r="C127" s="816" t="s">
        <v>2</v>
      </c>
      <c r="D127" s="823">
        <v>6.6500000000000004E-2</v>
      </c>
      <c r="E127" s="838">
        <f>D127*E115</f>
        <v>0.15893500000000002</v>
      </c>
      <c r="F127" s="838"/>
      <c r="G127" s="827">
        <f>E127*F127</f>
        <v>0</v>
      </c>
      <c r="H127" s="826"/>
      <c r="I127" s="825"/>
      <c r="J127" s="826"/>
      <c r="K127" s="825"/>
      <c r="L127" s="818">
        <f t="shared" si="5"/>
        <v>0</v>
      </c>
      <c r="M127" s="197"/>
      <c r="N127" s="197"/>
      <c r="O127" s="284"/>
      <c r="P127" s="197"/>
      <c r="Q127" s="197"/>
    </row>
    <row r="128" spans="1:17" s="1087" customFormat="1" ht="30">
      <c r="A128" s="828">
        <v>29</v>
      </c>
      <c r="B128" s="1085" t="s">
        <v>426</v>
      </c>
      <c r="C128" s="810" t="s">
        <v>146</v>
      </c>
      <c r="D128" s="829"/>
      <c r="E128" s="1086">
        <v>2.39</v>
      </c>
      <c r="F128" s="829"/>
      <c r="G128" s="1085"/>
      <c r="H128" s="830"/>
      <c r="I128" s="829"/>
      <c r="J128" s="830"/>
      <c r="K128" s="829"/>
      <c r="L128" s="828"/>
    </row>
    <row r="129" spans="1:17" s="398" customFormat="1" ht="22.05" customHeight="1">
      <c r="A129" s="814"/>
      <c r="B129" s="815" t="s">
        <v>70</v>
      </c>
      <c r="C129" s="814" t="s">
        <v>149</v>
      </c>
      <c r="D129" s="818">
        <v>1</v>
      </c>
      <c r="E129" s="818">
        <f>E128*D129</f>
        <v>2.39</v>
      </c>
      <c r="F129" s="814"/>
      <c r="G129" s="814"/>
      <c r="H129" s="818"/>
      <c r="I129" s="818">
        <f>H129*E129</f>
        <v>0</v>
      </c>
      <c r="J129" s="818"/>
      <c r="K129" s="818"/>
      <c r="L129" s="818">
        <f t="shared" ref="L129:L132" si="7">K129+I129+G129</f>
        <v>0</v>
      </c>
    </row>
    <row r="130" spans="1:17" s="398" customFormat="1" ht="13.5" customHeight="1">
      <c r="A130" s="839"/>
      <c r="B130" s="832" t="s">
        <v>404</v>
      </c>
      <c r="C130" s="1088" t="s">
        <v>57</v>
      </c>
      <c r="D130" s="814">
        <v>0.63</v>
      </c>
      <c r="E130" s="852">
        <f>D130*E128</f>
        <v>1.5057</v>
      </c>
      <c r="F130" s="1089"/>
      <c r="G130" s="818">
        <f>F130*E130</f>
        <v>0</v>
      </c>
      <c r="H130" s="1084"/>
      <c r="I130" s="832"/>
      <c r="J130" s="1084"/>
      <c r="K130" s="832"/>
      <c r="L130" s="818">
        <f t="shared" si="7"/>
        <v>0</v>
      </c>
    </row>
    <row r="131" spans="1:17" s="74" customFormat="1">
      <c r="A131" s="839"/>
      <c r="B131" s="832" t="s">
        <v>82</v>
      </c>
      <c r="C131" s="870" t="s">
        <v>57</v>
      </c>
      <c r="D131" s="871">
        <v>0.92</v>
      </c>
      <c r="E131" s="838">
        <f>D131*E128</f>
        <v>2.1988000000000003</v>
      </c>
      <c r="F131" s="824"/>
      <c r="G131" s="827">
        <f>E131*F131</f>
        <v>0</v>
      </c>
      <c r="H131" s="826"/>
      <c r="I131" s="825"/>
      <c r="J131" s="826"/>
      <c r="K131" s="825"/>
      <c r="L131" s="818">
        <f t="shared" si="7"/>
        <v>0</v>
      </c>
      <c r="M131" s="197"/>
      <c r="N131" s="256"/>
      <c r="O131" s="284"/>
      <c r="P131" s="197"/>
      <c r="Q131" s="197"/>
    </row>
    <row r="132" spans="1:17" s="74" customFormat="1">
      <c r="A132" s="822"/>
      <c r="B132" s="835" t="s">
        <v>51</v>
      </c>
      <c r="C132" s="816" t="s">
        <v>2</v>
      </c>
      <c r="D132" s="823">
        <v>1.7999999999999999E-2</v>
      </c>
      <c r="E132" s="838">
        <f>D132*E120</f>
        <v>3.0113999999999998E-2</v>
      </c>
      <c r="F132" s="838"/>
      <c r="G132" s="827">
        <f>E132*F132</f>
        <v>0</v>
      </c>
      <c r="H132" s="826"/>
      <c r="I132" s="825"/>
      <c r="J132" s="826"/>
      <c r="K132" s="825"/>
      <c r="L132" s="818">
        <f t="shared" si="7"/>
        <v>0</v>
      </c>
      <c r="M132" s="197"/>
      <c r="N132" s="197"/>
      <c r="O132" s="284"/>
      <c r="P132" s="197"/>
      <c r="Q132" s="197"/>
    </row>
    <row r="133" spans="1:17" s="76" customFormat="1" ht="30">
      <c r="A133" s="321">
        <v>30</v>
      </c>
      <c r="B133" s="324" t="s">
        <v>71</v>
      </c>
      <c r="C133" s="321" t="s">
        <v>146</v>
      </c>
      <c r="D133" s="325"/>
      <c r="E133" s="326">
        <v>13</v>
      </c>
      <c r="F133" s="327"/>
      <c r="G133" s="328"/>
      <c r="H133" s="327"/>
      <c r="I133" s="328"/>
      <c r="J133" s="327"/>
      <c r="K133" s="328"/>
      <c r="L133" s="328"/>
    </row>
    <row r="134" spans="1:17" s="74" customFormat="1">
      <c r="A134" s="947"/>
      <c r="B134" s="121" t="s">
        <v>42</v>
      </c>
      <c r="C134" s="947" t="s">
        <v>43</v>
      </c>
      <c r="D134" s="123">
        <v>1.0246</v>
      </c>
      <c r="E134" s="124">
        <f>D134*E133</f>
        <v>13.319799999999999</v>
      </c>
      <c r="F134" s="125"/>
      <c r="G134" s="70"/>
      <c r="H134" s="125"/>
      <c r="I134" s="70">
        <f>H134*E134</f>
        <v>0</v>
      </c>
      <c r="J134" s="70"/>
      <c r="K134" s="70"/>
      <c r="L134" s="70">
        <f>K134+I134+G134</f>
        <v>0</v>
      </c>
    </row>
    <row r="135" spans="1:17" s="74" customFormat="1">
      <c r="A135" s="362"/>
      <c r="B135" s="121" t="s">
        <v>49</v>
      </c>
      <c r="C135" s="362" t="s">
        <v>2</v>
      </c>
      <c r="D135" s="123">
        <v>3.8999999999999998E-3</v>
      </c>
      <c r="E135" s="124">
        <f>D135*E133</f>
        <v>5.0699999999999995E-2</v>
      </c>
      <c r="F135" s="125"/>
      <c r="G135" s="70"/>
      <c r="H135" s="125"/>
      <c r="I135" s="70"/>
      <c r="J135" s="125"/>
      <c r="K135" s="167">
        <f>J135*E135</f>
        <v>0</v>
      </c>
      <c r="L135" s="167">
        <f>K135+I135+G135</f>
        <v>0</v>
      </c>
    </row>
    <row r="136" spans="1:17" s="74" customFormat="1" ht="17.399999999999999">
      <c r="A136" s="166"/>
      <c r="B136" s="52" t="s">
        <v>72</v>
      </c>
      <c r="C136" s="362" t="s">
        <v>138</v>
      </c>
      <c r="D136" s="220">
        <v>1.03</v>
      </c>
      <c r="E136" s="101">
        <f>D136*E133</f>
        <v>13.39</v>
      </c>
      <c r="F136" s="1098"/>
      <c r="G136" s="221">
        <f>F136*E136</f>
        <v>0</v>
      </c>
      <c r="H136" s="219"/>
      <c r="I136" s="218"/>
      <c r="J136" s="219"/>
      <c r="K136" s="218"/>
      <c r="L136" s="70">
        <f>K136+I136+G136</f>
        <v>0</v>
      </c>
    </row>
    <row r="137" spans="1:17" s="74" customFormat="1">
      <c r="A137" s="173"/>
      <c r="B137" s="52" t="s">
        <v>51</v>
      </c>
      <c r="C137" s="362" t="s">
        <v>2</v>
      </c>
      <c r="D137" s="365">
        <v>1.6E-2</v>
      </c>
      <c r="E137" s="101">
        <f>D137*E133</f>
        <v>0.20800000000000002</v>
      </c>
      <c r="F137" s="125"/>
      <c r="G137" s="70">
        <f>F137*E137</f>
        <v>0</v>
      </c>
      <c r="H137" s="164"/>
      <c r="I137" s="55"/>
      <c r="J137" s="164"/>
      <c r="K137" s="55"/>
      <c r="L137" s="70">
        <f>K137+I137+G137</f>
        <v>0</v>
      </c>
    </row>
    <row r="138" spans="1:17" s="1087" customFormat="1" ht="30">
      <c r="A138" s="828">
        <v>31</v>
      </c>
      <c r="B138" s="1085" t="s">
        <v>403</v>
      </c>
      <c r="C138" s="810" t="s">
        <v>146</v>
      </c>
      <c r="D138" s="829"/>
      <c r="E138" s="1086">
        <v>13</v>
      </c>
      <c r="F138" s="829"/>
      <c r="G138" s="1085"/>
      <c r="H138" s="830"/>
      <c r="I138" s="829"/>
      <c r="J138" s="830"/>
      <c r="K138" s="829"/>
      <c r="L138" s="828"/>
    </row>
    <row r="139" spans="1:17" s="398" customFormat="1" ht="22.05" customHeight="1">
      <c r="A139" s="814"/>
      <c r="B139" s="815" t="s">
        <v>70</v>
      </c>
      <c r="C139" s="814" t="s">
        <v>149</v>
      </c>
      <c r="D139" s="818">
        <v>1</v>
      </c>
      <c r="E139" s="818">
        <f>E138*D139</f>
        <v>13</v>
      </c>
      <c r="F139" s="814"/>
      <c r="G139" s="814"/>
      <c r="H139" s="818"/>
      <c r="I139" s="818">
        <f>H139*E139</f>
        <v>0</v>
      </c>
      <c r="J139" s="818"/>
      <c r="K139" s="818"/>
      <c r="L139" s="818">
        <f t="shared" ref="L139:L141" si="8">K139+I139+G139</f>
        <v>0</v>
      </c>
    </row>
    <row r="140" spans="1:17" s="398" customFormat="1" ht="13.5" customHeight="1">
      <c r="A140" s="839"/>
      <c r="B140" s="832" t="s">
        <v>404</v>
      </c>
      <c r="C140" s="1088" t="s">
        <v>57</v>
      </c>
      <c r="D140" s="814">
        <v>0.63</v>
      </c>
      <c r="E140" s="852">
        <f>D140*E138</f>
        <v>8.19</v>
      </c>
      <c r="F140" s="1089"/>
      <c r="G140" s="818">
        <f>F140*E140</f>
        <v>0</v>
      </c>
      <c r="H140" s="1084"/>
      <c r="I140" s="832"/>
      <c r="J140" s="1084"/>
      <c r="K140" s="832"/>
      <c r="L140" s="818">
        <f t="shared" si="8"/>
        <v>0</v>
      </c>
    </row>
    <row r="141" spans="1:17" s="74" customFormat="1">
      <c r="A141" s="822"/>
      <c r="B141" s="835" t="s">
        <v>51</v>
      </c>
      <c r="C141" s="816" t="s">
        <v>2</v>
      </c>
      <c r="D141" s="823">
        <v>1.7999999999999999E-2</v>
      </c>
      <c r="E141" s="838">
        <f>D141*E105</f>
        <v>4.7249999999999996</v>
      </c>
      <c r="F141" s="838"/>
      <c r="G141" s="827">
        <f>E141*F141</f>
        <v>0</v>
      </c>
      <c r="H141" s="826"/>
      <c r="I141" s="825"/>
      <c r="J141" s="826"/>
      <c r="K141" s="825"/>
      <c r="L141" s="818">
        <f t="shared" si="8"/>
        <v>0</v>
      </c>
      <c r="M141" s="197"/>
      <c r="N141" s="197"/>
      <c r="O141" s="284"/>
      <c r="P141" s="197"/>
      <c r="Q141" s="197"/>
    </row>
    <row r="142" spans="1:17" s="459" customFormat="1" ht="27" customHeight="1">
      <c r="A142" s="810">
        <v>32</v>
      </c>
      <c r="B142" s="810" t="s">
        <v>405</v>
      </c>
      <c r="C142" s="810" t="s">
        <v>146</v>
      </c>
      <c r="D142" s="810"/>
      <c r="E142" s="1090">
        <v>16</v>
      </c>
      <c r="F142" s="813"/>
      <c r="G142" s="813"/>
      <c r="H142" s="813"/>
      <c r="I142" s="813"/>
      <c r="J142" s="813"/>
      <c r="K142" s="813"/>
      <c r="L142" s="813"/>
    </row>
    <row r="143" spans="1:17" s="460" customFormat="1" ht="17.399999999999999">
      <c r="A143" s="814"/>
      <c r="B143" s="815" t="s">
        <v>42</v>
      </c>
      <c r="C143" s="814" t="s">
        <v>149</v>
      </c>
      <c r="D143" s="816">
        <v>1</v>
      </c>
      <c r="E143" s="817">
        <f>D143*E142</f>
        <v>16</v>
      </c>
      <c r="F143" s="818"/>
      <c r="G143" s="818"/>
      <c r="H143" s="818"/>
      <c r="I143" s="818">
        <f>H143*E143</f>
        <v>0</v>
      </c>
      <c r="J143" s="818"/>
      <c r="K143" s="818"/>
      <c r="L143" s="818">
        <f>K143+I143+G143</f>
        <v>0</v>
      </c>
    </row>
    <row r="144" spans="1:17" s="460" customFormat="1">
      <c r="A144" s="814"/>
      <c r="B144" s="815" t="s">
        <v>49</v>
      </c>
      <c r="C144" s="816" t="s">
        <v>2</v>
      </c>
      <c r="D144" s="833">
        <f>(0.95+4*0.23)/100</f>
        <v>1.8700000000000001E-2</v>
      </c>
      <c r="E144" s="834">
        <f>D144*E142</f>
        <v>0.29920000000000002</v>
      </c>
      <c r="F144" s="818"/>
      <c r="G144" s="818"/>
      <c r="H144" s="818"/>
      <c r="I144" s="818"/>
      <c r="J144" s="818"/>
      <c r="K144" s="818">
        <f>E144*J144</f>
        <v>0</v>
      </c>
      <c r="L144" s="818">
        <f>K144+I144+G144</f>
        <v>0</v>
      </c>
    </row>
    <row r="145" spans="1:17" s="460" customFormat="1" ht="17.399999999999999">
      <c r="A145" s="814"/>
      <c r="B145" s="819" t="s">
        <v>78</v>
      </c>
      <c r="C145" s="816" t="s">
        <v>139</v>
      </c>
      <c r="D145" s="820">
        <f>(2.04+4*0.51)/100</f>
        <v>4.0800000000000003E-2</v>
      </c>
      <c r="E145" s="818">
        <f>D145*E142</f>
        <v>0.65280000000000005</v>
      </c>
      <c r="F145" s="1024"/>
      <c r="G145" s="818">
        <f>F145*E145</f>
        <v>0</v>
      </c>
      <c r="H145" s="818"/>
      <c r="I145" s="818"/>
      <c r="J145" s="818"/>
      <c r="K145" s="818"/>
      <c r="L145" s="818">
        <f>K145+I145+G145</f>
        <v>0</v>
      </c>
    </row>
    <row r="146" spans="1:17" s="460" customFormat="1" ht="15" customHeight="1">
      <c r="A146" s="814"/>
      <c r="B146" s="815" t="s">
        <v>51</v>
      </c>
      <c r="C146" s="816" t="s">
        <v>2</v>
      </c>
      <c r="D146" s="820">
        <v>6.3600000000000004E-2</v>
      </c>
      <c r="E146" s="818">
        <f>D146*E142</f>
        <v>1.0176000000000001</v>
      </c>
      <c r="F146" s="818"/>
      <c r="G146" s="818">
        <f>F146*E146</f>
        <v>0</v>
      </c>
      <c r="H146" s="818"/>
      <c r="I146" s="818"/>
      <c r="J146" s="818"/>
      <c r="K146" s="818"/>
      <c r="L146" s="818">
        <f>K146+I146+G146</f>
        <v>0</v>
      </c>
    </row>
    <row r="147" spans="1:17" s="10" customFormat="1" ht="30">
      <c r="A147" s="810">
        <v>33</v>
      </c>
      <c r="B147" s="1085" t="s">
        <v>406</v>
      </c>
      <c r="C147" s="810" t="s">
        <v>146</v>
      </c>
      <c r="D147" s="872"/>
      <c r="E147" s="1090">
        <v>16</v>
      </c>
      <c r="F147" s="940"/>
      <c r="G147" s="813"/>
      <c r="H147" s="940"/>
      <c r="I147" s="813"/>
      <c r="J147" s="940"/>
      <c r="K147" s="813"/>
      <c r="L147" s="813"/>
    </row>
    <row r="148" spans="1:17" s="1092" customFormat="1" ht="17.399999999999999">
      <c r="A148" s="814"/>
      <c r="B148" s="835" t="s">
        <v>42</v>
      </c>
      <c r="C148" s="814" t="s">
        <v>149</v>
      </c>
      <c r="D148" s="867">
        <v>1</v>
      </c>
      <c r="E148" s="846">
        <f>D148*E147</f>
        <v>16</v>
      </c>
      <c r="F148" s="824"/>
      <c r="G148" s="818"/>
      <c r="H148" s="1091"/>
      <c r="I148" s="818">
        <f>H148*E148</f>
        <v>0</v>
      </c>
      <c r="J148" s="824"/>
      <c r="K148" s="818"/>
      <c r="L148" s="818">
        <f t="shared" ref="L148:L154" si="9">K148+I148+G148</f>
        <v>0</v>
      </c>
    </row>
    <row r="149" spans="1:17" s="1092" customFormat="1">
      <c r="A149" s="814"/>
      <c r="B149" s="835" t="s">
        <v>49</v>
      </c>
      <c r="C149" s="816" t="s">
        <v>2</v>
      </c>
      <c r="D149" s="862">
        <v>4.5199999999999997E-2</v>
      </c>
      <c r="E149" s="842">
        <f>D149*E147</f>
        <v>0.72319999999999995</v>
      </c>
      <c r="F149" s="824"/>
      <c r="G149" s="818"/>
      <c r="H149" s="824"/>
      <c r="I149" s="818"/>
      <c r="J149" s="824"/>
      <c r="K149" s="818">
        <f>E149*J149</f>
        <v>0</v>
      </c>
      <c r="L149" s="818">
        <f t="shared" si="9"/>
        <v>0</v>
      </c>
    </row>
    <row r="150" spans="1:17" s="74" customFormat="1" ht="28.2">
      <c r="A150" s="822"/>
      <c r="B150" s="835" t="s">
        <v>412</v>
      </c>
      <c r="C150" s="814" t="s">
        <v>149</v>
      </c>
      <c r="D150" s="862">
        <v>1.02</v>
      </c>
      <c r="E150" s="838">
        <f>D150*E147-E151</f>
        <v>13.882200000000001</v>
      </c>
      <c r="F150" s="838"/>
      <c r="G150" s="827">
        <f>F150*E150</f>
        <v>0</v>
      </c>
      <c r="H150" s="838"/>
      <c r="I150" s="825"/>
      <c r="J150" s="826"/>
      <c r="K150" s="825"/>
      <c r="L150" s="827">
        <f t="shared" si="9"/>
        <v>0</v>
      </c>
      <c r="M150" s="197"/>
      <c r="N150" s="291"/>
      <c r="O150" s="284"/>
      <c r="P150" s="197"/>
      <c r="Q150" s="197"/>
    </row>
    <row r="151" spans="1:17" s="74" customFormat="1" ht="28.2">
      <c r="A151" s="822"/>
      <c r="B151" s="835" t="s">
        <v>413</v>
      </c>
      <c r="C151" s="814" t="s">
        <v>149</v>
      </c>
      <c r="D151" s="862"/>
      <c r="E151" s="838">
        <f>2.39*1.02</f>
        <v>2.4378000000000002</v>
      </c>
      <c r="F151" s="838"/>
      <c r="G151" s="827">
        <f>F151*E151</f>
        <v>0</v>
      </c>
      <c r="H151" s="838"/>
      <c r="I151" s="825"/>
      <c r="J151" s="826"/>
      <c r="K151" s="825"/>
      <c r="L151" s="827">
        <f t="shared" si="9"/>
        <v>0</v>
      </c>
      <c r="M151" s="197"/>
      <c r="N151" s="291"/>
      <c r="O151" s="284"/>
      <c r="P151" s="197"/>
      <c r="Q151" s="197"/>
    </row>
    <row r="152" spans="1:17" s="19" customFormat="1">
      <c r="A152" s="839"/>
      <c r="B152" s="1093" t="s">
        <v>77</v>
      </c>
      <c r="C152" s="1088" t="s">
        <v>57</v>
      </c>
      <c r="D152" s="823">
        <v>6.25</v>
      </c>
      <c r="E152" s="838">
        <f>D152*E147</f>
        <v>100</v>
      </c>
      <c r="F152" s="824"/>
      <c r="G152" s="818">
        <f>F152*E152</f>
        <v>0</v>
      </c>
      <c r="H152" s="824"/>
      <c r="I152" s="818"/>
      <c r="J152" s="824"/>
      <c r="K152" s="818"/>
      <c r="L152" s="818">
        <f t="shared" si="9"/>
        <v>0</v>
      </c>
    </row>
    <row r="153" spans="1:17" s="19" customFormat="1">
      <c r="A153" s="839"/>
      <c r="B153" s="1094" t="s">
        <v>79</v>
      </c>
      <c r="C153" s="1088" t="s">
        <v>57</v>
      </c>
      <c r="D153" s="823">
        <v>0.2</v>
      </c>
      <c r="E153" s="838">
        <f>D153*E147</f>
        <v>3.2</v>
      </c>
      <c r="F153" s="824"/>
      <c r="G153" s="818">
        <f>F153*E153</f>
        <v>0</v>
      </c>
      <c r="H153" s="824"/>
      <c r="I153" s="818"/>
      <c r="J153" s="824"/>
      <c r="K153" s="818"/>
      <c r="L153" s="818">
        <f t="shared" si="9"/>
        <v>0</v>
      </c>
    </row>
    <row r="154" spans="1:17" s="75" customFormat="1">
      <c r="A154" s="1024"/>
      <c r="B154" s="835" t="s">
        <v>51</v>
      </c>
      <c r="C154" s="816" t="s">
        <v>2</v>
      </c>
      <c r="D154" s="1025">
        <v>4.6600000000000003E-2</v>
      </c>
      <c r="E154" s="1026">
        <f>D154*E147</f>
        <v>0.74560000000000004</v>
      </c>
      <c r="F154" s="1027"/>
      <c r="G154" s="827">
        <f>F154*E154</f>
        <v>0</v>
      </c>
      <c r="H154" s="1026"/>
      <c r="I154" s="1028"/>
      <c r="J154" s="1029"/>
      <c r="K154" s="1028"/>
      <c r="L154" s="827">
        <f t="shared" si="9"/>
        <v>0</v>
      </c>
    </row>
    <row r="155" spans="1:17" s="396" customFormat="1" ht="30">
      <c r="A155" s="379">
        <v>34</v>
      </c>
      <c r="B155" s="446" t="s">
        <v>125</v>
      </c>
      <c r="C155" s="498" t="s">
        <v>148</v>
      </c>
      <c r="D155" s="498"/>
      <c r="E155" s="517">
        <v>42</v>
      </c>
      <c r="F155" s="379"/>
      <c r="G155" s="401"/>
      <c r="H155" s="379"/>
      <c r="I155" s="401"/>
      <c r="J155" s="379"/>
      <c r="K155" s="401"/>
      <c r="L155" s="401"/>
    </row>
    <row r="156" spans="1:17" s="409" customFormat="1" ht="17.399999999999999">
      <c r="A156" s="368"/>
      <c r="B156" s="431" t="s">
        <v>42</v>
      </c>
      <c r="C156" s="702" t="s">
        <v>138</v>
      </c>
      <c r="D156" s="432">
        <v>1</v>
      </c>
      <c r="E156" s="434">
        <f>D156*E155</f>
        <v>42</v>
      </c>
      <c r="F156" s="368"/>
      <c r="G156" s="369"/>
      <c r="H156" s="125"/>
      <c r="I156" s="369">
        <f>H156*E156</f>
        <v>0</v>
      </c>
      <c r="J156" s="368"/>
      <c r="K156" s="369"/>
      <c r="L156" s="369">
        <f>K156+I156+G156</f>
        <v>0</v>
      </c>
    </row>
    <row r="157" spans="1:17" s="409" customFormat="1">
      <c r="A157" s="368"/>
      <c r="B157" s="431" t="s">
        <v>45</v>
      </c>
      <c r="C157" s="432" t="s">
        <v>2</v>
      </c>
      <c r="D157" s="435">
        <v>2.1000000000000001E-2</v>
      </c>
      <c r="E157" s="436">
        <f>D157*E155</f>
        <v>0.88200000000000001</v>
      </c>
      <c r="F157" s="368"/>
      <c r="G157" s="369"/>
      <c r="H157" s="368"/>
      <c r="I157" s="369"/>
      <c r="J157" s="368"/>
      <c r="K157" s="369">
        <f>E157*J157</f>
        <v>0</v>
      </c>
      <c r="L157" s="369">
        <f>K157+I157+G157</f>
        <v>0</v>
      </c>
    </row>
    <row r="158" spans="1:17" s="409" customFormat="1" ht="17.399999999999999">
      <c r="A158" s="368"/>
      <c r="B158" s="462" t="s">
        <v>306</v>
      </c>
      <c r="C158" s="368" t="s">
        <v>150</v>
      </c>
      <c r="D158" s="463">
        <f>0.0189*1.05</f>
        <v>1.9845000000000002E-2</v>
      </c>
      <c r="E158" s="369">
        <f>D158*E155</f>
        <v>0.83349000000000006</v>
      </c>
      <c r="F158" s="515"/>
      <c r="G158" s="369">
        <f>F158*E158</f>
        <v>0</v>
      </c>
      <c r="H158" s="369"/>
      <c r="I158" s="369"/>
      <c r="J158" s="369"/>
      <c r="K158" s="369"/>
      <c r="L158" s="369">
        <f>K158+I158+G158</f>
        <v>0</v>
      </c>
    </row>
    <row r="159" spans="1:17" s="1071" customFormat="1" ht="25.2">
      <c r="A159" s="1065">
        <v>35</v>
      </c>
      <c r="B159" s="1066" t="s">
        <v>400</v>
      </c>
      <c r="C159" s="1067" t="s">
        <v>396</v>
      </c>
      <c r="D159" s="1068"/>
      <c r="E159" s="1069">
        <v>42</v>
      </c>
      <c r="F159" s="1065"/>
      <c r="G159" s="1070"/>
      <c r="H159" s="1065"/>
      <c r="I159" s="1070"/>
      <c r="J159" s="1065"/>
      <c r="K159" s="1065"/>
      <c r="L159" s="1070"/>
    </row>
    <row r="160" spans="1:17" s="1075" customFormat="1" ht="17.399999999999999">
      <c r="A160" s="1072"/>
      <c r="B160" s="431" t="s">
        <v>42</v>
      </c>
      <c r="C160" s="1064" t="s">
        <v>138</v>
      </c>
      <c r="D160" s="1073">
        <v>1</v>
      </c>
      <c r="E160" s="1112">
        <f>D160*E159</f>
        <v>42</v>
      </c>
      <c r="F160" s="1072"/>
      <c r="G160" s="1074"/>
      <c r="H160" s="1072"/>
      <c r="I160" s="1074">
        <f>H160*E160</f>
        <v>0</v>
      </c>
      <c r="J160" s="1072"/>
      <c r="K160" s="1074"/>
      <c r="L160" s="1074">
        <f t="shared" ref="L160:L165" si="10">K160+I160+G160</f>
        <v>0</v>
      </c>
      <c r="O160" s="1075">
        <v>342.5</v>
      </c>
    </row>
    <row r="161" spans="1:15" s="398" customFormat="1">
      <c r="A161" s="839"/>
      <c r="B161" s="815" t="s">
        <v>49</v>
      </c>
      <c r="C161" s="816" t="s">
        <v>2</v>
      </c>
      <c r="D161" s="842">
        <v>0.08</v>
      </c>
      <c r="E161" s="834">
        <f>D161*E159</f>
        <v>3.36</v>
      </c>
      <c r="F161" s="818"/>
      <c r="G161" s="818"/>
      <c r="H161" s="818"/>
      <c r="I161" s="818"/>
      <c r="J161" s="818"/>
      <c r="K161" s="818">
        <f>E161*J161</f>
        <v>0</v>
      </c>
      <c r="L161" s="818">
        <f t="shared" si="10"/>
        <v>0</v>
      </c>
    </row>
    <row r="162" spans="1:15" s="1075" customFormat="1" ht="12.6">
      <c r="A162" s="1072"/>
      <c r="B162" s="1076" t="s">
        <v>67</v>
      </c>
      <c r="C162" s="1072" t="s">
        <v>397</v>
      </c>
      <c r="D162" s="1077">
        <v>1.5E-3</v>
      </c>
      <c r="E162" s="1113">
        <f>D162*E159</f>
        <v>6.3E-2</v>
      </c>
      <c r="F162" s="1074"/>
      <c r="G162" s="1074">
        <f>F162*E162</f>
        <v>0</v>
      </c>
      <c r="H162" s="1074"/>
      <c r="I162" s="1074"/>
      <c r="J162" s="1074"/>
      <c r="K162" s="1074"/>
      <c r="L162" s="1074">
        <f t="shared" si="10"/>
        <v>0</v>
      </c>
      <c r="O162" s="1075">
        <v>38.313559322033903</v>
      </c>
    </row>
    <row r="163" spans="1:15" s="1075" customFormat="1" ht="14.4">
      <c r="A163" s="1072"/>
      <c r="B163" s="1076" t="s">
        <v>126</v>
      </c>
      <c r="C163" s="1072" t="s">
        <v>398</v>
      </c>
      <c r="D163" s="1077">
        <v>1.5E-3</v>
      </c>
      <c r="E163" s="1114">
        <f>D163*E159</f>
        <v>6.3E-2</v>
      </c>
      <c r="F163" s="1074"/>
      <c r="G163" s="1074">
        <f>F163*E163</f>
        <v>0</v>
      </c>
      <c r="H163" s="1074"/>
      <c r="I163" s="1074"/>
      <c r="J163" s="1074"/>
      <c r="K163" s="1074"/>
      <c r="L163" s="1074">
        <f t="shared" si="10"/>
        <v>0</v>
      </c>
      <c r="O163" s="1075">
        <v>7.8090000000000011</v>
      </c>
    </row>
    <row r="164" spans="1:15" s="1075" customFormat="1" ht="12.6">
      <c r="A164" s="1072"/>
      <c r="B164" s="1076" t="s">
        <v>399</v>
      </c>
      <c r="C164" s="1078" t="s">
        <v>57</v>
      </c>
      <c r="D164" s="1077">
        <v>0.106</v>
      </c>
      <c r="E164" s="1114">
        <f>D164*E159</f>
        <v>4.452</v>
      </c>
      <c r="F164" s="1074"/>
      <c r="G164" s="1074">
        <f>F164*E164</f>
        <v>0</v>
      </c>
      <c r="H164" s="1074"/>
      <c r="I164" s="1074"/>
      <c r="J164" s="1074"/>
      <c r="K164" s="1074"/>
      <c r="L164" s="1074">
        <f t="shared" si="10"/>
        <v>0</v>
      </c>
      <c r="O164" s="1075">
        <v>60.992400000000004</v>
      </c>
    </row>
    <row r="165" spans="1:15" s="396" customFormat="1">
      <c r="A165" s="814"/>
      <c r="B165" s="819" t="s">
        <v>51</v>
      </c>
      <c r="C165" s="816" t="s">
        <v>2</v>
      </c>
      <c r="D165" s="957">
        <v>4.1999999999999997E-3</v>
      </c>
      <c r="E165" s="1115">
        <f>D165*E159</f>
        <v>0.1764</v>
      </c>
      <c r="F165" s="818"/>
      <c r="G165" s="818">
        <f>F165*E165</f>
        <v>0</v>
      </c>
      <c r="H165" s="818"/>
      <c r="I165" s="818"/>
      <c r="J165" s="818"/>
      <c r="K165" s="818"/>
      <c r="L165" s="818">
        <f t="shared" si="10"/>
        <v>0</v>
      </c>
      <c r="N165" s="1079"/>
    </row>
    <row r="166" spans="1:15" s="396" customFormat="1" ht="17.399999999999999">
      <c r="A166" s="379">
        <v>36</v>
      </c>
      <c r="B166" s="500" t="s">
        <v>80</v>
      </c>
      <c r="C166" s="498" t="s">
        <v>148</v>
      </c>
      <c r="D166" s="419"/>
      <c r="E166" s="517">
        <v>42</v>
      </c>
      <c r="F166" s="379"/>
      <c r="G166" s="401"/>
      <c r="H166" s="379"/>
      <c r="I166" s="401"/>
      <c r="J166" s="379"/>
      <c r="K166" s="379"/>
      <c r="L166" s="401"/>
    </row>
    <row r="167" spans="1:15" s="409" customFormat="1" ht="17.399999999999999">
      <c r="A167" s="368"/>
      <c r="B167" s="431" t="s">
        <v>42</v>
      </c>
      <c r="C167" s="702" t="s">
        <v>138</v>
      </c>
      <c r="D167" s="432">
        <v>1</v>
      </c>
      <c r="E167" s="433">
        <f>D167*E166</f>
        <v>42</v>
      </c>
      <c r="F167" s="368"/>
      <c r="G167" s="369"/>
      <c r="H167" s="125"/>
      <c r="I167" s="369">
        <f>H167*E167</f>
        <v>0</v>
      </c>
      <c r="J167" s="368"/>
      <c r="K167" s="369"/>
      <c r="L167" s="369">
        <f t="shared" ref="L167:L171" si="11">K167+I167+G167</f>
        <v>0</v>
      </c>
    </row>
    <row r="168" spans="1:15" s="398" customFormat="1">
      <c r="A168" s="430"/>
      <c r="B168" s="431" t="s">
        <v>49</v>
      </c>
      <c r="C168" s="432" t="s">
        <v>2</v>
      </c>
      <c r="D168" s="494">
        <v>7.0000000000000001E-3</v>
      </c>
      <c r="E168" s="442">
        <f>D168*E166</f>
        <v>0.29399999999999998</v>
      </c>
      <c r="F168" s="369"/>
      <c r="G168" s="369"/>
      <c r="H168" s="369"/>
      <c r="I168" s="369"/>
      <c r="J168" s="369"/>
      <c r="K168" s="369">
        <f>E168*J168</f>
        <v>0</v>
      </c>
      <c r="L168" s="369">
        <f t="shared" si="11"/>
        <v>0</v>
      </c>
    </row>
    <row r="169" spans="1:15" s="409" customFormat="1">
      <c r="A169" s="368"/>
      <c r="B169" s="462" t="s">
        <v>307</v>
      </c>
      <c r="C169" s="368" t="s">
        <v>57</v>
      </c>
      <c r="D169" s="516">
        <v>0.59</v>
      </c>
      <c r="E169" s="1116">
        <f>D169*E166</f>
        <v>24.779999999999998</v>
      </c>
      <c r="F169" s="369"/>
      <c r="G169" s="369">
        <f>F169*E169</f>
        <v>0</v>
      </c>
      <c r="H169" s="369"/>
      <c r="I169" s="369"/>
      <c r="J169" s="369"/>
      <c r="K169" s="369"/>
      <c r="L169" s="369">
        <f t="shared" si="11"/>
        <v>0</v>
      </c>
    </row>
    <row r="170" spans="1:15" s="409" customFormat="1">
      <c r="A170" s="368"/>
      <c r="B170" s="462" t="s">
        <v>81</v>
      </c>
      <c r="C170" s="368" t="s">
        <v>57</v>
      </c>
      <c r="D170" s="516">
        <v>0.15</v>
      </c>
      <c r="E170" s="1116">
        <f>D170*E166</f>
        <v>6.3</v>
      </c>
      <c r="F170" s="369"/>
      <c r="G170" s="369">
        <f>F170*E170</f>
        <v>0</v>
      </c>
      <c r="H170" s="369"/>
      <c r="I170" s="369"/>
      <c r="J170" s="369"/>
      <c r="K170" s="369"/>
      <c r="L170" s="369">
        <f>K170+I170+G170</f>
        <v>0</v>
      </c>
    </row>
    <row r="171" spans="1:15" s="396" customFormat="1">
      <c r="A171" s="368"/>
      <c r="B171" s="462" t="s">
        <v>51</v>
      </c>
      <c r="C171" s="432" t="s">
        <v>2</v>
      </c>
      <c r="D171" s="516">
        <v>3.3999999999999998E-3</v>
      </c>
      <c r="E171" s="1117">
        <f>D171*E166</f>
        <v>0.14279999999999998</v>
      </c>
      <c r="F171" s="369"/>
      <c r="G171" s="369">
        <f>F171*E171</f>
        <v>0</v>
      </c>
      <c r="H171" s="369"/>
      <c r="I171" s="369"/>
      <c r="J171" s="369"/>
      <c r="K171" s="369"/>
      <c r="L171" s="369">
        <f t="shared" si="11"/>
        <v>0</v>
      </c>
    </row>
    <row r="172" spans="1:15" s="459" customFormat="1" ht="43.8" customHeight="1">
      <c r="A172" s="379">
        <v>37</v>
      </c>
      <c r="B172" s="379" t="s">
        <v>368</v>
      </c>
      <c r="C172" s="379" t="s">
        <v>146</v>
      </c>
      <c r="D172" s="379"/>
      <c r="E172" s="458">
        <v>26</v>
      </c>
      <c r="F172" s="401"/>
      <c r="G172" s="401"/>
      <c r="H172" s="401"/>
      <c r="I172" s="401"/>
      <c r="J172" s="401"/>
      <c r="K172" s="401"/>
      <c r="L172" s="401"/>
    </row>
    <row r="173" spans="1:15" s="291" customFormat="1" ht="17.399999999999999">
      <c r="A173" s="1024"/>
      <c r="B173" s="832" t="s">
        <v>52</v>
      </c>
      <c r="C173" s="814" t="s">
        <v>138</v>
      </c>
      <c r="D173" s="1030">
        <v>1</v>
      </c>
      <c r="E173" s="1026">
        <f>D173*E172</f>
        <v>26</v>
      </c>
      <c r="F173" s="1029"/>
      <c r="G173" s="1028"/>
      <c r="H173" s="1027"/>
      <c r="I173" s="1031">
        <f>H173*E173</f>
        <v>0</v>
      </c>
      <c r="J173" s="1029"/>
      <c r="K173" s="1028"/>
      <c r="L173" s="827">
        <f>K173+I173+G173</f>
        <v>0</v>
      </c>
    </row>
    <row r="174" spans="1:15" s="291" customFormat="1">
      <c r="A174" s="1024"/>
      <c r="B174" s="832" t="s">
        <v>49</v>
      </c>
      <c r="C174" s="868" t="s">
        <v>2</v>
      </c>
      <c r="D174" s="1030">
        <f>(1.12+13*0.28)/100</f>
        <v>4.7600000000000003E-2</v>
      </c>
      <c r="E174" s="1027">
        <f>D174*E172</f>
        <v>1.2376</v>
      </c>
      <c r="F174" s="1027"/>
      <c r="G174" s="1031"/>
      <c r="H174" s="1027"/>
      <c r="I174" s="1028"/>
      <c r="J174" s="1029"/>
      <c r="K174" s="1032">
        <f>E174*J174</f>
        <v>0</v>
      </c>
      <c r="L174" s="827">
        <f>K174+I174+G174</f>
        <v>0</v>
      </c>
    </row>
    <row r="175" spans="1:15" s="291" customFormat="1" ht="17.399999999999999">
      <c r="A175" s="1024"/>
      <c r="B175" s="832" t="s">
        <v>147</v>
      </c>
      <c r="C175" s="816" t="s">
        <v>139</v>
      </c>
      <c r="D175" s="1030">
        <f>(2.04+13*0.51)/100</f>
        <v>8.6699999999999999E-2</v>
      </c>
      <c r="E175" s="1026">
        <f>D175*E172</f>
        <v>2.2542</v>
      </c>
      <c r="F175" s="824"/>
      <c r="G175" s="827">
        <f>F175*E175</f>
        <v>0</v>
      </c>
      <c r="H175" s="1027"/>
      <c r="I175" s="1028"/>
      <c r="J175" s="1029"/>
      <c r="K175" s="1028"/>
      <c r="L175" s="827">
        <f>K175+I175+G175</f>
        <v>0</v>
      </c>
    </row>
    <row r="176" spans="1:15" s="291" customFormat="1" ht="17.399999999999999">
      <c r="A176" s="1024"/>
      <c r="B176" s="832" t="s">
        <v>369</v>
      </c>
      <c r="C176" s="814" t="s">
        <v>138</v>
      </c>
      <c r="D176" s="1032">
        <v>1.03</v>
      </c>
      <c r="E176" s="1026">
        <f>D176*20</f>
        <v>20.6</v>
      </c>
      <c r="F176" s="824"/>
      <c r="G176" s="827">
        <f>F176*E176</f>
        <v>0</v>
      </c>
      <c r="H176" s="1027"/>
      <c r="I176" s="1028"/>
      <c r="J176" s="1029"/>
      <c r="K176" s="1028"/>
      <c r="L176" s="827">
        <f>K176+I176+G176</f>
        <v>0</v>
      </c>
    </row>
    <row r="177" spans="1:12" s="291" customFormat="1">
      <c r="A177" s="1024"/>
      <c r="B177" s="835" t="s">
        <v>51</v>
      </c>
      <c r="C177" s="816" t="s">
        <v>2</v>
      </c>
      <c r="D177" s="1025">
        <v>6.3600000000000004E-2</v>
      </c>
      <c r="E177" s="1026">
        <f>D177*E172</f>
        <v>1.6536000000000002</v>
      </c>
      <c r="F177" s="1027"/>
      <c r="G177" s="827">
        <f>F177*E177</f>
        <v>0</v>
      </c>
      <c r="H177" s="1026"/>
      <c r="I177" s="1028"/>
      <c r="J177" s="1029"/>
      <c r="K177" s="1028"/>
      <c r="L177" s="827">
        <f>K177+I177+G177</f>
        <v>0</v>
      </c>
    </row>
    <row r="178" spans="1:12" s="459" customFormat="1" ht="27" customHeight="1">
      <c r="A178" s="379">
        <v>38</v>
      </c>
      <c r="B178" s="379" t="s">
        <v>325</v>
      </c>
      <c r="C178" s="379" t="s">
        <v>146</v>
      </c>
      <c r="D178" s="379"/>
      <c r="E178" s="458">
        <v>26</v>
      </c>
      <c r="F178" s="401"/>
      <c r="G178" s="401"/>
      <c r="H178" s="401"/>
      <c r="I178" s="401"/>
      <c r="J178" s="401"/>
      <c r="K178" s="401"/>
      <c r="L178" s="401"/>
    </row>
    <row r="179" spans="1:12" s="460" customFormat="1" ht="17.399999999999999">
      <c r="A179" s="368"/>
      <c r="B179" s="431" t="s">
        <v>42</v>
      </c>
      <c r="C179" s="1017" t="s">
        <v>149</v>
      </c>
      <c r="D179" s="432">
        <v>1</v>
      </c>
      <c r="E179" s="434">
        <f>D179*E178</f>
        <v>26</v>
      </c>
      <c r="F179" s="369"/>
      <c r="G179" s="369"/>
      <c r="H179" s="369"/>
      <c r="I179" s="369">
        <f>H179*E179</f>
        <v>0</v>
      </c>
      <c r="J179" s="369"/>
      <c r="K179" s="369"/>
      <c r="L179" s="369">
        <f>K179+I179+G179</f>
        <v>0</v>
      </c>
    </row>
    <row r="180" spans="1:12" s="460" customFormat="1">
      <c r="A180" s="368"/>
      <c r="B180" s="431" t="s">
        <v>49</v>
      </c>
      <c r="C180" s="432" t="s">
        <v>2</v>
      </c>
      <c r="D180" s="449">
        <f>(0.95+4*0.23)/100</f>
        <v>1.8700000000000001E-2</v>
      </c>
      <c r="E180" s="442">
        <f>D180*E178</f>
        <v>0.48620000000000002</v>
      </c>
      <c r="F180" s="369"/>
      <c r="G180" s="369"/>
      <c r="H180" s="369"/>
      <c r="I180" s="369"/>
      <c r="J180" s="369"/>
      <c r="K180" s="369">
        <f>E180*J180</f>
        <v>0</v>
      </c>
      <c r="L180" s="369">
        <f>K180+I180+G180</f>
        <v>0</v>
      </c>
    </row>
    <row r="181" spans="1:12" s="460" customFormat="1" ht="17.399999999999999">
      <c r="A181" s="368"/>
      <c r="B181" s="462" t="s">
        <v>78</v>
      </c>
      <c r="C181" s="432" t="s">
        <v>139</v>
      </c>
      <c r="D181" s="463">
        <f>(2.04+4*0.51)/100</f>
        <v>4.0800000000000003E-2</v>
      </c>
      <c r="E181" s="369">
        <f>D181*E178</f>
        <v>1.0608</v>
      </c>
      <c r="F181" s="461"/>
      <c r="G181" s="369">
        <f>F181*E181</f>
        <v>0</v>
      </c>
      <c r="H181" s="369"/>
      <c r="I181" s="369"/>
      <c r="J181" s="369"/>
      <c r="K181" s="369"/>
      <c r="L181" s="369">
        <f>K181+I181+G181</f>
        <v>0</v>
      </c>
    </row>
    <row r="182" spans="1:12" s="460" customFormat="1" ht="15" customHeight="1">
      <c r="A182" s="368"/>
      <c r="B182" s="431" t="s">
        <v>51</v>
      </c>
      <c r="C182" s="432" t="s">
        <v>2</v>
      </c>
      <c r="D182" s="463">
        <v>6.3600000000000004E-2</v>
      </c>
      <c r="E182" s="369">
        <f>D182*E178</f>
        <v>1.6536000000000002</v>
      </c>
      <c r="F182" s="369"/>
      <c r="G182" s="369">
        <f>F182*E182</f>
        <v>0</v>
      </c>
      <c r="H182" s="369"/>
      <c r="I182" s="369"/>
      <c r="J182" s="369"/>
      <c r="K182" s="369"/>
      <c r="L182" s="369">
        <f>K182+I182+G182</f>
        <v>0</v>
      </c>
    </row>
    <row r="183" spans="1:12" s="8" customFormat="1" ht="45">
      <c r="A183" s="321">
        <v>39</v>
      </c>
      <c r="B183" s="312" t="s">
        <v>326</v>
      </c>
      <c r="C183" s="321" t="s">
        <v>146</v>
      </c>
      <c r="D183" s="311"/>
      <c r="E183" s="458">
        <v>26</v>
      </c>
      <c r="F183" s="327"/>
      <c r="G183" s="328"/>
      <c r="H183" s="327"/>
      <c r="I183" s="328"/>
      <c r="J183" s="327"/>
      <c r="K183" s="328"/>
      <c r="L183" s="328"/>
    </row>
    <row r="184" spans="1:12" s="78" customFormat="1" ht="17.399999999999999">
      <c r="A184" s="1017"/>
      <c r="B184" s="121" t="s">
        <v>42</v>
      </c>
      <c r="C184" s="1017" t="s">
        <v>149</v>
      </c>
      <c r="D184" s="123">
        <v>1</v>
      </c>
      <c r="E184" s="124">
        <f>D184*E183</f>
        <v>26</v>
      </c>
      <c r="F184" s="125"/>
      <c r="G184" s="70"/>
      <c r="H184" s="282"/>
      <c r="I184" s="70">
        <f>H184*E184</f>
        <v>0</v>
      </c>
      <c r="J184" s="125"/>
      <c r="K184" s="70"/>
      <c r="L184" s="70">
        <f t="shared" ref="L184:L189" si="12">K184+I184+G184</f>
        <v>0</v>
      </c>
    </row>
    <row r="185" spans="1:12" s="78" customFormat="1">
      <c r="A185" s="1017"/>
      <c r="B185" s="121" t="s">
        <v>49</v>
      </c>
      <c r="C185" s="122" t="s">
        <v>2</v>
      </c>
      <c r="D185" s="133">
        <v>4.5199999999999997E-2</v>
      </c>
      <c r="E185" s="134">
        <f>D185*E183</f>
        <v>1.1752</v>
      </c>
      <c r="F185" s="125"/>
      <c r="G185" s="70"/>
      <c r="H185" s="125"/>
      <c r="I185" s="70"/>
      <c r="J185" s="125"/>
      <c r="K185" s="70">
        <f>E185*J185</f>
        <v>0</v>
      </c>
      <c r="L185" s="70">
        <f t="shared" si="12"/>
        <v>0</v>
      </c>
    </row>
    <row r="186" spans="1:12" s="74" customFormat="1">
      <c r="A186" s="116"/>
      <c r="B186" s="121" t="s">
        <v>309</v>
      </c>
      <c r="D186" s="133">
        <v>1.02</v>
      </c>
      <c r="E186" s="101">
        <f>D186*E183</f>
        <v>26.52</v>
      </c>
      <c r="F186" s="101"/>
      <c r="G186" s="127">
        <f>F186*E186</f>
        <v>0</v>
      </c>
      <c r="H186" s="101"/>
      <c r="I186" s="136"/>
      <c r="J186" s="135"/>
      <c r="K186" s="136"/>
      <c r="L186" s="127">
        <f t="shared" si="12"/>
        <v>0</v>
      </c>
    </row>
    <row r="187" spans="1:12" s="19" customFormat="1">
      <c r="A187" s="525"/>
      <c r="B187" s="169" t="s">
        <v>327</v>
      </c>
      <c r="C187" s="163" t="s">
        <v>57</v>
      </c>
      <c r="D187" s="703">
        <v>6.25</v>
      </c>
      <c r="E187" s="101">
        <f>D187*E183</f>
        <v>162.5</v>
      </c>
      <c r="F187" s="125"/>
      <c r="G187" s="70">
        <f>F187*E187</f>
        <v>0</v>
      </c>
      <c r="H187" s="125"/>
      <c r="I187" s="70"/>
      <c r="J187" s="125"/>
      <c r="K187" s="70"/>
      <c r="L187" s="70">
        <f t="shared" si="12"/>
        <v>0</v>
      </c>
    </row>
    <row r="188" spans="1:12" s="19" customFormat="1">
      <c r="A188" s="525"/>
      <c r="B188" s="168" t="s">
        <v>79</v>
      </c>
      <c r="C188" s="163" t="s">
        <v>57</v>
      </c>
      <c r="D188" s="703">
        <v>0.2</v>
      </c>
      <c r="E188" s="101">
        <f>D188*E183</f>
        <v>5.2</v>
      </c>
      <c r="F188" s="125"/>
      <c r="G188" s="70">
        <f>F188*E188</f>
        <v>0</v>
      </c>
      <c r="H188" s="125"/>
      <c r="I188" s="70"/>
      <c r="J188" s="125"/>
      <c r="K188" s="70"/>
      <c r="L188" s="70">
        <f t="shared" si="12"/>
        <v>0</v>
      </c>
    </row>
    <row r="189" spans="1:12" s="75" customFormat="1">
      <c r="A189" s="157"/>
      <c r="B189" s="121" t="s">
        <v>51</v>
      </c>
      <c r="C189" s="122" t="s">
        <v>2</v>
      </c>
      <c r="D189" s="161">
        <v>4.6600000000000003E-2</v>
      </c>
      <c r="E189" s="162">
        <f>D189*E183</f>
        <v>1.2116</v>
      </c>
      <c r="F189" s="158"/>
      <c r="G189" s="127">
        <f>F189*E189</f>
        <v>0</v>
      </c>
      <c r="H189" s="162"/>
      <c r="I189" s="159"/>
      <c r="J189" s="160"/>
      <c r="K189" s="159"/>
      <c r="L189" s="127">
        <f t="shared" si="12"/>
        <v>0</v>
      </c>
    </row>
    <row r="190" spans="1:12" s="12" customFormat="1" ht="30">
      <c r="A190" s="839">
        <v>40</v>
      </c>
      <c r="B190" s="812" t="s">
        <v>367</v>
      </c>
      <c r="C190" s="321" t="s">
        <v>146</v>
      </c>
      <c r="D190" s="872"/>
      <c r="E190" s="939">
        <v>4</v>
      </c>
      <c r="F190" s="940"/>
      <c r="G190" s="813"/>
      <c r="H190" s="940"/>
      <c r="I190" s="813"/>
      <c r="J190" s="940"/>
      <c r="K190" s="813"/>
      <c r="L190" s="813"/>
    </row>
    <row r="191" spans="1:12" s="11" customFormat="1">
      <c r="A191" s="814"/>
      <c r="B191" s="1020" t="s">
        <v>357</v>
      </c>
      <c r="C191" s="837"/>
      <c r="D191" s="823"/>
      <c r="E191" s="846"/>
      <c r="F191" s="824"/>
      <c r="G191" s="818"/>
      <c r="H191" s="824"/>
      <c r="I191" s="818"/>
      <c r="J191" s="824"/>
      <c r="K191" s="818"/>
      <c r="L191" s="818"/>
    </row>
    <row r="192" spans="1:12" s="189" customFormat="1">
      <c r="A192" s="362"/>
      <c r="B192" s="121"/>
      <c r="C192" s="362"/>
      <c r="D192" s="123"/>
      <c r="E192" s="124"/>
      <c r="F192" s="125"/>
      <c r="G192" s="70"/>
      <c r="H192" s="125"/>
      <c r="I192" s="70"/>
      <c r="J192" s="125"/>
      <c r="K192" s="70"/>
      <c r="L192" s="70"/>
    </row>
    <row r="193" spans="1:12" s="189" customFormat="1" ht="16.5" customHeight="1">
      <c r="A193" s="310"/>
      <c r="B193" s="312" t="s">
        <v>83</v>
      </c>
      <c r="C193" s="313"/>
      <c r="D193" s="314"/>
      <c r="E193" s="315"/>
      <c r="F193" s="315"/>
      <c r="G193" s="318">
        <f>SUM(G11:G192)</f>
        <v>0</v>
      </c>
      <c r="H193" s="315"/>
      <c r="I193" s="318">
        <f>SUM(I11:I192)</f>
        <v>0</v>
      </c>
      <c r="J193" s="316"/>
      <c r="K193" s="318">
        <f>SUM(K11:K192)</f>
        <v>0</v>
      </c>
      <c r="L193" s="318">
        <f>SUM(L11:L192)</f>
        <v>0</v>
      </c>
    </row>
    <row r="194" spans="1:12" s="189" customFormat="1" ht="16.5" customHeight="1">
      <c r="A194" s="822"/>
      <c r="B194" s="832" t="s">
        <v>328</v>
      </c>
      <c r="C194" s="955">
        <v>0.05</v>
      </c>
      <c r="D194" s="823"/>
      <c r="E194" s="824"/>
      <c r="F194" s="824"/>
      <c r="G194" s="827"/>
      <c r="H194" s="824"/>
      <c r="I194" s="827"/>
      <c r="J194" s="826"/>
      <c r="K194" s="827"/>
      <c r="L194" s="827">
        <f>G193*C194</f>
        <v>0</v>
      </c>
    </row>
    <row r="195" spans="1:12" s="189" customFormat="1" ht="16.5" customHeight="1">
      <c r="A195" s="822"/>
      <c r="B195" s="129" t="s">
        <v>21</v>
      </c>
      <c r="C195" s="814"/>
      <c r="D195" s="823"/>
      <c r="E195" s="824"/>
      <c r="F195" s="824"/>
      <c r="G195" s="827"/>
      <c r="H195" s="824"/>
      <c r="I195" s="827"/>
      <c r="J195" s="826"/>
      <c r="K195" s="827"/>
      <c r="L195" s="956">
        <f>L193+L194</f>
        <v>0</v>
      </c>
    </row>
    <row r="196" spans="1:12" s="297" customFormat="1">
      <c r="A196" s="147"/>
      <c r="B196" s="126" t="s">
        <v>84</v>
      </c>
      <c r="C196" s="131" t="s">
        <v>85</v>
      </c>
      <c r="D196" s="118"/>
      <c r="E196" s="101"/>
      <c r="F196" s="101"/>
      <c r="G196" s="127"/>
      <c r="H196" s="101"/>
      <c r="I196" s="101"/>
      <c r="J196" s="101"/>
      <c r="K196" s="127"/>
      <c r="L196" s="127">
        <f>(L195)*C196</f>
        <v>0</v>
      </c>
    </row>
    <row r="197" spans="1:12" s="298" customFormat="1">
      <c r="A197" s="147"/>
      <c r="B197" s="129" t="s">
        <v>21</v>
      </c>
      <c r="C197" s="156"/>
      <c r="D197" s="132"/>
      <c r="E197" s="137"/>
      <c r="F197" s="137"/>
      <c r="G197" s="138"/>
      <c r="H197" s="137"/>
      <c r="I197" s="137"/>
      <c r="J197" s="137"/>
      <c r="K197" s="138"/>
      <c r="L197" s="138">
        <f>L196+L195</f>
        <v>0</v>
      </c>
    </row>
    <row r="198" spans="1:12" s="297" customFormat="1">
      <c r="A198" s="147"/>
      <c r="B198" s="126" t="s">
        <v>87</v>
      </c>
      <c r="C198" s="131" t="s">
        <v>86</v>
      </c>
      <c r="D198" s="118"/>
      <c r="E198" s="101"/>
      <c r="F198" s="101"/>
      <c r="G198" s="127"/>
      <c r="H198" s="101"/>
      <c r="I198" s="101"/>
      <c r="J198" s="101"/>
      <c r="K198" s="127"/>
      <c r="L198" s="127">
        <f>L197*C198</f>
        <v>0</v>
      </c>
    </row>
    <row r="199" spans="1:12" s="296" customFormat="1">
      <c r="A199" s="147"/>
      <c r="B199" s="53" t="s">
        <v>22</v>
      </c>
      <c r="C199" s="525"/>
      <c r="D199" s="132"/>
      <c r="E199" s="137"/>
      <c r="F199" s="137"/>
      <c r="G199" s="138"/>
      <c r="H199" s="137"/>
      <c r="I199" s="137"/>
      <c r="J199" s="137"/>
      <c r="K199" s="138"/>
      <c r="L199" s="138">
        <f>SUM(L197:L198)</f>
        <v>0</v>
      </c>
    </row>
    <row r="200" spans="1:12">
      <c r="C200" s="175"/>
      <c r="D200" s="176"/>
      <c r="E200" s="177"/>
      <c r="F200" s="178"/>
      <c r="G200" s="66"/>
      <c r="H200" s="178"/>
      <c r="I200" s="178"/>
      <c r="J200" s="178"/>
      <c r="K200" s="178"/>
      <c r="L200" s="177"/>
    </row>
    <row r="201" spans="1:12">
      <c r="B201" s="58"/>
      <c r="C201" s="50"/>
      <c r="D201" s="179"/>
      <c r="E201" s="180"/>
      <c r="F201" s="180"/>
      <c r="G201" s="181"/>
      <c r="H201" s="182"/>
      <c r="I201" s="182"/>
      <c r="J201" s="182"/>
      <c r="K201" s="182"/>
      <c r="L201" s="178"/>
    </row>
    <row r="202" spans="1:12" ht="41.25" customHeight="1">
      <c r="B202" s="58"/>
      <c r="C202" s="58"/>
      <c r="D202" s="183"/>
      <c r="E202" s="180"/>
      <c r="F202" s="180"/>
      <c r="G202" s="59"/>
      <c r="H202" s="184"/>
      <c r="I202" s="184"/>
      <c r="J202" s="184"/>
      <c r="K202" s="184"/>
      <c r="L202" s="177"/>
    </row>
    <row r="203" spans="1:12" ht="20.25" customHeight="1">
      <c r="B203" s="58"/>
      <c r="C203" s="58"/>
      <c r="D203" s="183"/>
      <c r="E203" s="180"/>
      <c r="F203" s="180"/>
      <c r="G203" s="59"/>
      <c r="H203" s="185"/>
      <c r="I203" s="185"/>
      <c r="J203" s="185"/>
      <c r="K203" s="185"/>
      <c r="L203" s="177"/>
    </row>
    <row r="204" spans="1:12">
      <c r="D204" s="176"/>
      <c r="E204" s="177"/>
      <c r="F204" s="177"/>
      <c r="G204" s="186"/>
      <c r="H204" s="177"/>
      <c r="I204" s="177"/>
      <c r="J204" s="177"/>
      <c r="K204" s="177"/>
      <c r="L204" s="177"/>
    </row>
    <row r="205" spans="1:12">
      <c r="D205" s="176"/>
      <c r="E205" s="177"/>
      <c r="F205" s="177"/>
      <c r="G205" s="186"/>
      <c r="H205" s="177"/>
      <c r="I205" s="177"/>
      <c r="J205" s="177"/>
      <c r="K205" s="177"/>
      <c r="L205" s="177"/>
    </row>
    <row r="206" spans="1:12">
      <c r="D206" s="176"/>
      <c r="E206" s="177"/>
      <c r="F206" s="177"/>
      <c r="G206" s="186"/>
      <c r="H206" s="177"/>
      <c r="I206" s="177"/>
      <c r="J206" s="177"/>
      <c r="K206" s="177"/>
      <c r="L206" s="177"/>
    </row>
    <row r="207" spans="1:12">
      <c r="D207" s="176"/>
      <c r="E207" s="177"/>
      <c r="F207" s="177"/>
      <c r="G207" s="186"/>
      <c r="H207" s="177"/>
      <c r="I207" s="177"/>
      <c r="J207" s="177"/>
      <c r="K207" s="177"/>
      <c r="L207" s="177"/>
    </row>
    <row r="208" spans="1:12">
      <c r="D208" s="176"/>
      <c r="E208" s="177"/>
      <c r="F208" s="177"/>
      <c r="G208" s="186"/>
      <c r="H208" s="177"/>
      <c r="I208" s="177"/>
      <c r="J208" s="177"/>
      <c r="K208" s="177"/>
      <c r="L208" s="177"/>
    </row>
    <row r="209" spans="1:12">
      <c r="D209" s="176"/>
      <c r="E209" s="177"/>
      <c r="F209" s="177"/>
      <c r="G209" s="186"/>
      <c r="H209" s="177"/>
      <c r="I209" s="177"/>
      <c r="J209" s="177"/>
      <c r="K209" s="177"/>
      <c r="L209" s="177"/>
    </row>
    <row r="210" spans="1:12">
      <c r="D210" s="176"/>
      <c r="E210" s="177"/>
      <c r="F210" s="177"/>
      <c r="G210" s="186"/>
      <c r="H210" s="177"/>
      <c r="I210" s="177"/>
      <c r="J210" s="177"/>
      <c r="K210" s="177"/>
      <c r="L210" s="177"/>
    </row>
    <row r="211" spans="1:12">
      <c r="D211" s="176"/>
      <c r="E211" s="177"/>
      <c r="F211" s="177"/>
      <c r="G211" s="186"/>
      <c r="H211" s="177"/>
      <c r="I211" s="177"/>
      <c r="J211" s="177"/>
      <c r="K211" s="177"/>
      <c r="L211" s="177"/>
    </row>
    <row r="212" spans="1:12">
      <c r="D212" s="176"/>
      <c r="E212" s="177"/>
      <c r="F212" s="177"/>
      <c r="G212" s="186"/>
      <c r="H212" s="177"/>
      <c r="I212" s="177"/>
      <c r="J212" s="177"/>
      <c r="K212" s="177"/>
      <c r="L212" s="177"/>
    </row>
    <row r="213" spans="1:12">
      <c r="D213" s="176"/>
      <c r="E213" s="177"/>
      <c r="F213" s="177"/>
      <c r="G213" s="186"/>
      <c r="H213" s="177"/>
      <c r="I213" s="177"/>
      <c r="J213" s="177"/>
      <c r="K213" s="177"/>
      <c r="L213" s="177"/>
    </row>
    <row r="214" spans="1:12">
      <c r="D214" s="176"/>
      <c r="E214" s="177"/>
      <c r="F214" s="177"/>
      <c r="G214" s="186"/>
      <c r="H214" s="177"/>
      <c r="I214" s="177"/>
      <c r="J214" s="177"/>
      <c r="K214" s="177"/>
      <c r="L214" s="177"/>
    </row>
    <row r="215" spans="1:12" s="216" customFormat="1">
      <c r="A215" s="62"/>
      <c r="B215" s="18"/>
      <c r="C215" s="51"/>
      <c r="D215" s="176"/>
      <c r="E215" s="177"/>
      <c r="F215" s="177"/>
      <c r="G215" s="186"/>
      <c r="H215" s="177"/>
      <c r="I215" s="177"/>
      <c r="J215" s="177"/>
      <c r="K215" s="177"/>
      <c r="L215" s="177"/>
    </row>
    <row r="216" spans="1:12" s="216" customFormat="1">
      <c r="A216" s="62"/>
      <c r="B216" s="18"/>
      <c r="C216" s="51"/>
      <c r="D216" s="176"/>
      <c r="E216" s="177"/>
      <c r="F216" s="177"/>
      <c r="G216" s="186"/>
      <c r="H216" s="177"/>
      <c r="I216" s="177"/>
      <c r="J216" s="177"/>
      <c r="K216" s="177"/>
      <c r="L216" s="177"/>
    </row>
    <row r="217" spans="1:12" s="216" customFormat="1">
      <c r="A217" s="62"/>
      <c r="B217" s="18"/>
      <c r="C217" s="51"/>
      <c r="D217" s="176"/>
      <c r="E217" s="177"/>
      <c r="F217" s="177"/>
      <c r="G217" s="186"/>
      <c r="H217" s="177"/>
      <c r="I217" s="177"/>
      <c r="J217" s="177"/>
      <c r="K217" s="177"/>
      <c r="L217" s="177"/>
    </row>
    <row r="218" spans="1:12" s="216" customFormat="1">
      <c r="A218" s="62"/>
      <c r="B218" s="18"/>
      <c r="C218" s="51"/>
      <c r="D218" s="176"/>
      <c r="E218" s="177"/>
      <c r="F218" s="177"/>
      <c r="G218" s="186"/>
      <c r="H218" s="177"/>
      <c r="I218" s="177"/>
      <c r="J218" s="177"/>
      <c r="K218" s="177"/>
      <c r="L218" s="177"/>
    </row>
    <row r="219" spans="1:12" s="216" customFormat="1">
      <c r="A219" s="62"/>
      <c r="B219" s="18"/>
      <c r="C219" s="51"/>
      <c r="D219" s="176"/>
      <c r="E219" s="177"/>
      <c r="F219" s="177"/>
      <c r="G219" s="186"/>
      <c r="H219" s="177"/>
      <c r="I219" s="177"/>
      <c r="J219" s="177"/>
      <c r="K219" s="177"/>
      <c r="L219" s="177"/>
    </row>
    <row r="220" spans="1:12" s="216" customFormat="1">
      <c r="A220" s="62"/>
      <c r="B220" s="18"/>
      <c r="C220" s="51"/>
      <c r="D220" s="176"/>
      <c r="E220" s="177"/>
      <c r="F220" s="177"/>
      <c r="G220" s="186"/>
      <c r="H220" s="177"/>
      <c r="I220" s="177"/>
      <c r="J220" s="177"/>
      <c r="K220" s="177"/>
      <c r="L220" s="177"/>
    </row>
    <row r="221" spans="1:12" s="216" customFormat="1">
      <c r="A221" s="62"/>
      <c r="B221" s="18"/>
      <c r="C221" s="51"/>
      <c r="D221" s="176"/>
      <c r="E221" s="177"/>
      <c r="F221" s="177"/>
      <c r="G221" s="186"/>
      <c r="H221" s="177"/>
      <c r="I221" s="177"/>
      <c r="J221" s="177"/>
      <c r="K221" s="177"/>
      <c r="L221" s="177"/>
    </row>
    <row r="222" spans="1:12" s="216" customFormat="1">
      <c r="A222" s="62"/>
      <c r="B222" s="18"/>
      <c r="C222" s="51"/>
      <c r="D222" s="176"/>
      <c r="E222" s="177"/>
      <c r="F222" s="177"/>
      <c r="G222" s="186"/>
      <c r="H222" s="177"/>
      <c r="I222" s="177"/>
      <c r="J222" s="177"/>
      <c r="K222" s="177"/>
      <c r="L222" s="177"/>
    </row>
    <row r="223" spans="1:12" s="216" customFormat="1">
      <c r="A223" s="62"/>
      <c r="B223" s="18"/>
      <c r="C223" s="51"/>
      <c r="D223" s="176"/>
      <c r="E223" s="177"/>
      <c r="F223" s="177"/>
      <c r="G223" s="186"/>
      <c r="H223" s="177"/>
      <c r="I223" s="177"/>
      <c r="J223" s="177"/>
      <c r="K223" s="177"/>
      <c r="L223" s="177"/>
    </row>
    <row r="224" spans="1:12" s="216" customFormat="1">
      <c r="A224" s="62"/>
      <c r="B224" s="18"/>
      <c r="C224" s="51"/>
      <c r="D224" s="176"/>
      <c r="E224" s="177"/>
      <c r="F224" s="177"/>
      <c r="G224" s="186"/>
      <c r="H224" s="177"/>
      <c r="I224" s="177"/>
      <c r="J224" s="177"/>
      <c r="K224" s="177"/>
      <c r="L224" s="177"/>
    </row>
    <row r="225" spans="1:12" s="216" customFormat="1">
      <c r="A225" s="62"/>
      <c r="B225" s="18"/>
      <c r="C225" s="51"/>
      <c r="D225" s="176"/>
      <c r="E225" s="177"/>
      <c r="F225" s="177"/>
      <c r="G225" s="186"/>
      <c r="H225" s="177"/>
      <c r="I225" s="177"/>
      <c r="J225" s="177"/>
      <c r="K225" s="177"/>
      <c r="L225" s="177"/>
    </row>
    <row r="226" spans="1:12" s="216" customFormat="1">
      <c r="A226" s="62"/>
      <c r="B226" s="18"/>
      <c r="C226" s="51"/>
      <c r="D226" s="187"/>
      <c r="E226" s="186"/>
      <c r="F226" s="186"/>
      <c r="G226" s="186"/>
      <c r="H226" s="186"/>
      <c r="I226" s="186"/>
      <c r="J226" s="186"/>
      <c r="K226" s="186"/>
      <c r="L226" s="186"/>
    </row>
    <row r="227" spans="1:12" s="216" customFormat="1">
      <c r="A227" s="62"/>
      <c r="B227" s="18"/>
      <c r="C227" s="51"/>
      <c r="D227" s="187"/>
      <c r="E227" s="186"/>
      <c r="F227" s="186"/>
      <c r="G227" s="186"/>
      <c r="H227" s="186"/>
      <c r="I227" s="186"/>
      <c r="J227" s="186"/>
      <c r="K227" s="186"/>
      <c r="L227" s="186"/>
    </row>
    <row r="228" spans="1:12" s="216" customFormat="1">
      <c r="A228" s="62"/>
      <c r="B228" s="18"/>
      <c r="C228" s="51"/>
      <c r="D228" s="187"/>
      <c r="E228" s="186"/>
      <c r="F228" s="186"/>
      <c r="G228" s="186"/>
      <c r="H228" s="186"/>
      <c r="I228" s="186"/>
      <c r="J228" s="186"/>
      <c r="K228" s="186"/>
      <c r="L228" s="186"/>
    </row>
    <row r="229" spans="1:12" s="216" customFormat="1">
      <c r="A229" s="62"/>
      <c r="B229" s="18"/>
      <c r="C229" s="51"/>
      <c r="D229" s="187"/>
      <c r="E229" s="187"/>
      <c r="F229" s="187"/>
      <c r="G229" s="187"/>
      <c r="H229" s="187"/>
      <c r="I229" s="187"/>
      <c r="J229" s="187"/>
      <c r="K229" s="187"/>
      <c r="L229" s="187"/>
    </row>
  </sheetData>
  <autoFilter ref="A7:L228"/>
  <mergeCells count="10">
    <mergeCell ref="B2:J2"/>
    <mergeCell ref="B3:I3"/>
    <mergeCell ref="F5:G5"/>
    <mergeCell ref="H5:I5"/>
    <mergeCell ref="J5:K5"/>
    <mergeCell ref="A5:A6"/>
    <mergeCell ref="B5:B6"/>
    <mergeCell ref="C5:C6"/>
    <mergeCell ref="D5:E5"/>
    <mergeCell ref="L5:L6"/>
  </mergeCells>
  <printOptions horizontalCentered="1"/>
  <pageMargins left="0.118110236220472" right="0.118110236220472" top="1.0629921259842501" bottom="0.74803149606299202" header="0.66929133858267698" footer="0.31496062992126"/>
  <pageSetup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83969" r:id="rId4" name="Control 1">
          <controlPr defaultSize="0" r:id="rId5">
            <anchor moveWithCells="1">
              <from>
                <xdr:col>12</xdr:col>
                <xdr:colOff>129540</xdr:colOff>
                <xdr:row>132</xdr:row>
                <xdr:rowOff>68580</xdr:rowOff>
              </from>
              <to>
                <xdr:col>12</xdr:col>
                <xdr:colOff>350520</xdr:colOff>
                <xdr:row>132</xdr:row>
                <xdr:rowOff>304800</xdr:rowOff>
              </to>
            </anchor>
          </controlPr>
        </control>
      </mc:Choice>
      <mc:Fallback>
        <control shapeId="83969" r:id="rId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Y654"/>
  <sheetViews>
    <sheetView topLeftCell="A7" zoomScaleNormal="100" zoomScaleSheetLayoutView="100" workbookViewId="0">
      <selection activeCell="K11" sqref="K11:K49"/>
    </sheetView>
  </sheetViews>
  <sheetFormatPr defaultColWidth="9.109375" defaultRowHeight="15"/>
  <cols>
    <col min="1" max="1" width="3.88671875" style="40" customWidth="1"/>
    <col min="2" max="2" width="34.6640625" style="42" customWidth="1"/>
    <col min="3" max="3" width="9.6640625" style="18" customWidth="1"/>
    <col min="4" max="4" width="7.33203125" style="43" customWidth="1"/>
    <col min="5" max="5" width="9" style="43" customWidth="1"/>
    <col min="6" max="6" width="8.6640625" style="43" customWidth="1"/>
    <col min="7" max="7" width="9.5546875" style="43" customWidth="1"/>
    <col min="8" max="8" width="8" style="273" customWidth="1"/>
    <col min="9" max="9" width="9" style="43" customWidth="1"/>
    <col min="10" max="10" width="8.109375" style="44" customWidth="1"/>
    <col min="11" max="11" width="8.33203125" style="43" customWidth="1"/>
    <col min="12" max="12" width="10" style="43" customWidth="1"/>
    <col min="13" max="14" width="9.109375" style="367"/>
    <col min="15" max="16384" width="9.109375" style="1"/>
  </cols>
  <sheetData>
    <row r="1" spans="1:12">
      <c r="A1" s="61"/>
      <c r="B1" s="62"/>
      <c r="C1" s="62"/>
      <c r="D1" s="62"/>
      <c r="E1" s="62"/>
      <c r="F1" s="62"/>
      <c r="G1" s="62"/>
      <c r="H1" s="268"/>
      <c r="I1" s="62"/>
      <c r="J1" s="66"/>
      <c r="K1" s="62"/>
      <c r="L1" s="62"/>
    </row>
    <row r="2" spans="1:12" ht="17.399999999999999">
      <c r="A2" s="1196" t="s">
        <v>242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</row>
    <row r="3" spans="1:12" ht="19.8">
      <c r="A3" s="63"/>
      <c r="B3" s="64"/>
      <c r="C3" s="65"/>
      <c r="D3" s="65"/>
      <c r="E3" s="65"/>
      <c r="F3" s="65"/>
      <c r="G3" s="65"/>
      <c r="H3" s="269"/>
      <c r="I3" s="65"/>
      <c r="J3" s="67"/>
      <c r="K3" s="65"/>
      <c r="L3" s="65"/>
    </row>
    <row r="4" spans="1:12" ht="17.399999999999999" customHeight="1">
      <c r="A4" s="1196" t="s">
        <v>248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</row>
    <row r="5" spans="1:12" ht="19.8">
      <c r="A5" s="63"/>
      <c r="B5" s="64"/>
      <c r="C5" s="65"/>
      <c r="D5" s="65"/>
      <c r="E5" s="65"/>
      <c r="F5" s="65"/>
      <c r="G5" s="65"/>
      <c r="H5" s="269"/>
      <c r="I5" s="65"/>
      <c r="J5" s="67"/>
      <c r="K5" s="65"/>
      <c r="L5" s="65"/>
    </row>
    <row r="6" spans="1:12" ht="33" customHeight="1">
      <c r="A6" s="1182" t="s">
        <v>13</v>
      </c>
      <c r="B6" s="1182" t="s">
        <v>27</v>
      </c>
      <c r="C6" s="1182" t="s">
        <v>32</v>
      </c>
      <c r="D6" s="1197" t="s">
        <v>33</v>
      </c>
      <c r="E6" s="1198"/>
      <c r="F6" s="1182" t="s">
        <v>34</v>
      </c>
      <c r="G6" s="1182"/>
      <c r="H6" s="1182" t="s">
        <v>35</v>
      </c>
      <c r="I6" s="1182"/>
      <c r="J6" s="1182" t="s">
        <v>36</v>
      </c>
      <c r="K6" s="1182"/>
      <c r="L6" s="1194" t="s">
        <v>37</v>
      </c>
    </row>
    <row r="7" spans="1:12" ht="36" customHeight="1">
      <c r="A7" s="1182"/>
      <c r="B7" s="1182"/>
      <c r="C7" s="1182"/>
      <c r="D7" s="70" t="s">
        <v>38</v>
      </c>
      <c r="E7" s="585" t="s">
        <v>22</v>
      </c>
      <c r="F7" s="70" t="s">
        <v>39</v>
      </c>
      <c r="G7" s="585" t="s">
        <v>40</v>
      </c>
      <c r="H7" s="584" t="s">
        <v>39</v>
      </c>
      <c r="I7" s="585" t="s">
        <v>40</v>
      </c>
      <c r="J7" s="70" t="s">
        <v>39</v>
      </c>
      <c r="K7" s="585" t="s">
        <v>40</v>
      </c>
      <c r="L7" s="1195"/>
    </row>
    <row r="8" spans="1:12" s="254" customFormat="1" ht="21" customHeight="1">
      <c r="A8" s="115">
        <v>1</v>
      </c>
      <c r="B8" s="115">
        <v>2</v>
      </c>
      <c r="C8" s="116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281">
        <v>10</v>
      </c>
      <c r="K8" s="117">
        <v>11</v>
      </c>
      <c r="L8" s="117">
        <v>12</v>
      </c>
    </row>
    <row r="9" spans="1:12" ht="33" customHeight="1">
      <c r="A9" s="331">
        <v>1</v>
      </c>
      <c r="B9" s="332" t="s">
        <v>102</v>
      </c>
      <c r="C9" s="333" t="s">
        <v>65</v>
      </c>
      <c r="D9" s="331"/>
      <c r="E9" s="334">
        <v>40</v>
      </c>
      <c r="F9" s="331"/>
      <c r="G9" s="335"/>
      <c r="H9" s="336"/>
      <c r="I9" s="331"/>
      <c r="J9" s="331"/>
      <c r="K9" s="331"/>
      <c r="L9" s="321"/>
    </row>
    <row r="10" spans="1:12" s="367" customFormat="1">
      <c r="A10" s="585"/>
      <c r="B10" s="231" t="s">
        <v>42</v>
      </c>
      <c r="C10" s="149" t="s">
        <v>43</v>
      </c>
      <c r="D10" s="149">
        <v>1.43</v>
      </c>
      <c r="E10" s="149">
        <f>D10*E9</f>
        <v>57.199999999999996</v>
      </c>
      <c r="F10" s="585"/>
      <c r="G10" s="585"/>
      <c r="H10" s="584"/>
      <c r="I10" s="70">
        <f>E10*H10</f>
        <v>0</v>
      </c>
      <c r="J10" s="585"/>
      <c r="K10" s="70"/>
      <c r="L10" s="70">
        <f t="shared" ref="L10:L17" si="0">K10+I10+G10</f>
        <v>0</v>
      </c>
    </row>
    <row r="11" spans="1:12" s="367" customFormat="1">
      <c r="A11" s="585"/>
      <c r="B11" s="231" t="s">
        <v>49</v>
      </c>
      <c r="C11" s="149" t="s">
        <v>2</v>
      </c>
      <c r="D11" s="232">
        <v>2.5700000000000001E-2</v>
      </c>
      <c r="E11" s="233">
        <f>D11*E9</f>
        <v>1.028</v>
      </c>
      <c r="F11" s="585"/>
      <c r="G11" s="585"/>
      <c r="H11" s="584"/>
      <c r="I11" s="585"/>
      <c r="J11" s="585"/>
      <c r="K11" s="70">
        <f>J11*E11</f>
        <v>0</v>
      </c>
      <c r="L11" s="70">
        <f t="shared" si="0"/>
        <v>0</v>
      </c>
    </row>
    <row r="12" spans="1:12" s="367" customFormat="1">
      <c r="A12" s="232"/>
      <c r="B12" s="228" t="s">
        <v>103</v>
      </c>
      <c r="C12" s="149" t="s">
        <v>65</v>
      </c>
      <c r="D12" s="200">
        <v>0.92900000000000005</v>
      </c>
      <c r="E12" s="233">
        <f>D12*E9</f>
        <v>37.160000000000004</v>
      </c>
      <c r="F12" s="233"/>
      <c r="G12" s="230">
        <f t="shared" ref="G12:G17" si="1">F12*E12</f>
        <v>0</v>
      </c>
      <c r="H12" s="271"/>
      <c r="I12" s="232"/>
      <c r="J12" s="232"/>
      <c r="K12" s="232"/>
      <c r="L12" s="70">
        <f t="shared" si="0"/>
        <v>0</v>
      </c>
    </row>
    <row r="13" spans="1:12" s="367" customFormat="1" ht="15" customHeight="1">
      <c r="A13" s="232"/>
      <c r="B13" s="99" t="s">
        <v>104</v>
      </c>
      <c r="C13" s="149" t="s">
        <v>61</v>
      </c>
      <c r="D13" s="200"/>
      <c r="E13" s="233">
        <v>13</v>
      </c>
      <c r="F13" s="233"/>
      <c r="G13" s="230">
        <f t="shared" si="1"/>
        <v>0</v>
      </c>
      <c r="H13" s="271"/>
      <c r="I13" s="232"/>
      <c r="J13" s="232"/>
      <c r="K13" s="232"/>
      <c r="L13" s="70">
        <f t="shared" si="0"/>
        <v>0</v>
      </c>
    </row>
    <row r="14" spans="1:12" s="367" customFormat="1">
      <c r="A14" s="232"/>
      <c r="B14" s="235" t="s">
        <v>105</v>
      </c>
      <c r="C14" s="149" t="s">
        <v>61</v>
      </c>
      <c r="D14" s="232"/>
      <c r="E14" s="233">
        <v>12</v>
      </c>
      <c r="F14" s="233"/>
      <c r="G14" s="230">
        <f t="shared" si="1"/>
        <v>0</v>
      </c>
      <c r="H14" s="271"/>
      <c r="I14" s="232"/>
      <c r="J14" s="232"/>
      <c r="K14" s="232"/>
      <c r="L14" s="70">
        <f t="shared" si="0"/>
        <v>0</v>
      </c>
    </row>
    <row r="15" spans="1:12" s="367" customFormat="1" ht="16.2">
      <c r="A15" s="192"/>
      <c r="B15" s="235" t="s">
        <v>106</v>
      </c>
      <c r="C15" s="151" t="s">
        <v>61</v>
      </c>
      <c r="D15" s="225"/>
      <c r="E15" s="226">
        <v>6</v>
      </c>
      <c r="F15" s="127"/>
      <c r="G15" s="230">
        <f t="shared" si="1"/>
        <v>0</v>
      </c>
      <c r="H15" s="271"/>
      <c r="I15" s="232"/>
      <c r="J15" s="232"/>
      <c r="K15" s="232"/>
      <c r="L15" s="70">
        <f t="shared" si="0"/>
        <v>0</v>
      </c>
    </row>
    <row r="16" spans="1:12" s="367" customFormat="1" ht="16.2">
      <c r="A16" s="192"/>
      <c r="B16" s="99" t="s">
        <v>140</v>
      </c>
      <c r="C16" s="151" t="s">
        <v>61</v>
      </c>
      <c r="D16" s="225"/>
      <c r="E16" s="226">
        <v>7</v>
      </c>
      <c r="F16" s="127"/>
      <c r="G16" s="230">
        <f t="shared" si="1"/>
        <v>0</v>
      </c>
      <c r="H16" s="271"/>
      <c r="I16" s="232"/>
      <c r="J16" s="232"/>
      <c r="K16" s="232"/>
      <c r="L16" s="70">
        <f t="shared" si="0"/>
        <v>0</v>
      </c>
    </row>
    <row r="17" spans="1:12">
      <c r="A17" s="525"/>
      <c r="B17" s="152" t="s">
        <v>51</v>
      </c>
      <c r="C17" s="149" t="s">
        <v>2</v>
      </c>
      <c r="D17" s="232">
        <v>4.5699999999999998E-2</v>
      </c>
      <c r="E17" s="233">
        <f>D17*E9</f>
        <v>1.8279999999999998</v>
      </c>
      <c r="F17" s="229"/>
      <c r="G17" s="230">
        <f t="shared" si="1"/>
        <v>0</v>
      </c>
      <c r="H17" s="259"/>
      <c r="I17" s="525"/>
      <c r="J17" s="525"/>
      <c r="K17" s="525"/>
      <c r="L17" s="70">
        <f t="shared" si="0"/>
        <v>0</v>
      </c>
    </row>
    <row r="18" spans="1:12" ht="30" customHeight="1">
      <c r="A18" s="337">
        <v>2</v>
      </c>
      <c r="B18" s="338" t="s">
        <v>107</v>
      </c>
      <c r="C18" s="339" t="s">
        <v>65</v>
      </c>
      <c r="D18" s="340"/>
      <c r="E18" s="341">
        <v>4</v>
      </c>
      <c r="F18" s="341"/>
      <c r="G18" s="342"/>
      <c r="H18" s="343"/>
      <c r="I18" s="342"/>
      <c r="J18" s="341"/>
      <c r="K18" s="342"/>
      <c r="L18" s="342"/>
    </row>
    <row r="19" spans="1:12" s="367" customFormat="1" ht="16.2">
      <c r="A19" s="193"/>
      <c r="B19" s="150" t="s">
        <v>42</v>
      </c>
      <c r="C19" s="151" t="s">
        <v>43</v>
      </c>
      <c r="D19" s="225">
        <v>1.17</v>
      </c>
      <c r="E19" s="194">
        <f>D19*E18</f>
        <v>4.68</v>
      </c>
      <c r="F19" s="194"/>
      <c r="G19" s="195"/>
      <c r="H19" s="258"/>
      <c r="I19" s="194">
        <f>H19*E19</f>
        <v>0</v>
      </c>
      <c r="J19" s="194"/>
      <c r="K19" s="195"/>
      <c r="L19" s="195">
        <f t="shared" ref="L19:L27" si="2">K19+I19+G19</f>
        <v>0</v>
      </c>
    </row>
    <row r="20" spans="1:12" s="367" customFormat="1">
      <c r="A20" s="585"/>
      <c r="B20" s="231" t="s">
        <v>49</v>
      </c>
      <c r="C20" s="149" t="s">
        <v>2</v>
      </c>
      <c r="D20" s="232">
        <v>1.72E-2</v>
      </c>
      <c r="E20" s="233">
        <f>D20*E18</f>
        <v>6.88E-2</v>
      </c>
      <c r="F20" s="585"/>
      <c r="G20" s="585"/>
      <c r="H20" s="584"/>
      <c r="I20" s="585"/>
      <c r="J20" s="585"/>
      <c r="K20" s="70">
        <f>J20*E20</f>
        <v>0</v>
      </c>
      <c r="L20" s="70">
        <f t="shared" si="2"/>
        <v>0</v>
      </c>
    </row>
    <row r="21" spans="1:12" s="367" customFormat="1">
      <c r="A21" s="232"/>
      <c r="B21" s="228" t="s">
        <v>108</v>
      </c>
      <c r="C21" s="149" t="s">
        <v>65</v>
      </c>
      <c r="D21" s="200">
        <v>0.93799999999999994</v>
      </c>
      <c r="E21" s="233">
        <f>D21*E18</f>
        <v>3.7519999999999998</v>
      </c>
      <c r="F21" s="233"/>
      <c r="G21" s="230">
        <f t="shared" ref="G21:G27" si="3">F21*E21</f>
        <v>0</v>
      </c>
      <c r="H21" s="271"/>
      <c r="I21" s="232"/>
      <c r="J21" s="232"/>
      <c r="K21" s="232"/>
      <c r="L21" s="70">
        <f t="shared" si="2"/>
        <v>0</v>
      </c>
    </row>
    <row r="22" spans="1:12" s="367" customFormat="1" ht="15" customHeight="1">
      <c r="A22" s="232"/>
      <c r="B22" s="234" t="s">
        <v>109</v>
      </c>
      <c r="C22" s="149" t="s">
        <v>61</v>
      </c>
      <c r="D22" s="200"/>
      <c r="E22" s="233">
        <v>1</v>
      </c>
      <c r="F22" s="233"/>
      <c r="G22" s="230">
        <f t="shared" si="3"/>
        <v>0</v>
      </c>
      <c r="H22" s="271"/>
      <c r="I22" s="232"/>
      <c r="J22" s="232"/>
      <c r="K22" s="232"/>
      <c r="L22" s="70">
        <f t="shared" si="2"/>
        <v>0</v>
      </c>
    </row>
    <row r="23" spans="1:12" s="367" customFormat="1">
      <c r="A23" s="232"/>
      <c r="B23" s="235" t="s">
        <v>110</v>
      </c>
      <c r="C23" s="149" t="s">
        <v>61</v>
      </c>
      <c r="D23" s="232"/>
      <c r="E23" s="233">
        <v>3</v>
      </c>
      <c r="F23" s="233"/>
      <c r="G23" s="230">
        <f t="shared" si="3"/>
        <v>0</v>
      </c>
      <c r="H23" s="271"/>
      <c r="I23" s="232"/>
      <c r="J23" s="232"/>
      <c r="K23" s="232"/>
      <c r="L23" s="70">
        <f t="shared" si="2"/>
        <v>0</v>
      </c>
    </row>
    <row r="24" spans="1:12" s="367" customFormat="1" ht="16.2">
      <c r="A24" s="192"/>
      <c r="B24" s="235" t="s">
        <v>241</v>
      </c>
      <c r="C24" s="151" t="s">
        <v>61</v>
      </c>
      <c r="D24" s="236"/>
      <c r="E24" s="226">
        <v>2</v>
      </c>
      <c r="F24" s="127"/>
      <c r="G24" s="230">
        <f t="shared" si="3"/>
        <v>0</v>
      </c>
      <c r="H24" s="271"/>
      <c r="I24" s="232"/>
      <c r="J24" s="232"/>
      <c r="K24" s="232"/>
      <c r="L24" s="70">
        <f t="shared" si="2"/>
        <v>0</v>
      </c>
    </row>
    <row r="25" spans="1:12" s="367" customFormat="1" ht="16.2">
      <c r="A25" s="192"/>
      <c r="B25" s="235" t="s">
        <v>111</v>
      </c>
      <c r="C25" s="151" t="s">
        <v>61</v>
      </c>
      <c r="D25" s="225"/>
      <c r="E25" s="226">
        <v>4</v>
      </c>
      <c r="F25" s="226"/>
      <c r="G25" s="195">
        <f t="shared" si="3"/>
        <v>0</v>
      </c>
      <c r="H25" s="258"/>
      <c r="I25" s="195"/>
      <c r="J25" s="194"/>
      <c r="K25" s="195"/>
      <c r="L25" s="70">
        <f t="shared" si="2"/>
        <v>0</v>
      </c>
    </row>
    <row r="26" spans="1:12" s="367" customFormat="1" ht="16.2">
      <c r="A26" s="192"/>
      <c r="B26" s="99" t="s">
        <v>141</v>
      </c>
      <c r="C26" s="151" t="s">
        <v>61</v>
      </c>
      <c r="D26" s="225"/>
      <c r="E26" s="226">
        <v>12</v>
      </c>
      <c r="F26" s="127"/>
      <c r="G26" s="230">
        <f t="shared" si="3"/>
        <v>0</v>
      </c>
      <c r="H26" s="271"/>
      <c r="I26" s="232"/>
      <c r="J26" s="232"/>
      <c r="K26" s="232"/>
      <c r="L26" s="70">
        <f t="shared" si="2"/>
        <v>0</v>
      </c>
    </row>
    <row r="27" spans="1:12" ht="16.2">
      <c r="A27" s="192"/>
      <c r="B27" s="150" t="s">
        <v>51</v>
      </c>
      <c r="C27" s="151" t="s">
        <v>2</v>
      </c>
      <c r="D27" s="225">
        <v>3.9300000000000002E-2</v>
      </c>
      <c r="E27" s="226">
        <f>D27*E18</f>
        <v>0.15720000000000001</v>
      </c>
      <c r="F27" s="229"/>
      <c r="G27" s="194">
        <f t="shared" si="3"/>
        <v>0</v>
      </c>
      <c r="H27" s="258"/>
      <c r="I27" s="195"/>
      <c r="J27" s="194"/>
      <c r="K27" s="195"/>
      <c r="L27" s="195">
        <f t="shared" si="2"/>
        <v>0</v>
      </c>
    </row>
    <row r="28" spans="1:12" s="367" customFormat="1">
      <c r="A28" s="810">
        <v>3</v>
      </c>
      <c r="B28" s="1099" t="s">
        <v>112</v>
      </c>
      <c r="C28" s="1100" t="s">
        <v>61</v>
      </c>
      <c r="D28" s="1101"/>
      <c r="E28" s="1102">
        <v>1</v>
      </c>
      <c r="F28" s="1103"/>
      <c r="G28" s="810"/>
      <c r="H28" s="992"/>
      <c r="I28" s="810"/>
      <c r="J28" s="810"/>
      <c r="K28" s="810"/>
      <c r="L28" s="813"/>
    </row>
    <row r="29" spans="1:12" s="367" customFormat="1" ht="17.399999999999999" customHeight="1">
      <c r="A29" s="814"/>
      <c r="B29" s="963" t="s">
        <v>42</v>
      </c>
      <c r="C29" s="868" t="s">
        <v>61</v>
      </c>
      <c r="D29" s="868">
        <v>1</v>
      </c>
      <c r="E29" s="868">
        <f>D29*E28</f>
        <v>1</v>
      </c>
      <c r="F29" s="814"/>
      <c r="G29" s="814"/>
      <c r="H29" s="964"/>
      <c r="I29" s="818">
        <f>H29*E29</f>
        <v>0</v>
      </c>
      <c r="J29" s="814"/>
      <c r="K29" s="818"/>
      <c r="L29" s="818">
        <f>K29+I29+G29</f>
        <v>0</v>
      </c>
    </row>
    <row r="30" spans="1:12" s="367" customFormat="1">
      <c r="A30" s="814"/>
      <c r="B30" s="963" t="s">
        <v>49</v>
      </c>
      <c r="C30" s="868" t="s">
        <v>2</v>
      </c>
      <c r="D30" s="957">
        <v>0.01</v>
      </c>
      <c r="E30" s="958">
        <f>D30*E28</f>
        <v>0.01</v>
      </c>
      <c r="F30" s="814"/>
      <c r="G30" s="814"/>
      <c r="H30" s="964"/>
      <c r="I30" s="814"/>
      <c r="J30" s="814"/>
      <c r="K30" s="818">
        <f>E30*J30</f>
        <v>0</v>
      </c>
      <c r="L30" s="818">
        <f>K30+I30+G30</f>
        <v>0</v>
      </c>
    </row>
    <row r="31" spans="1:12" s="367" customFormat="1" ht="28.2">
      <c r="A31" s="814"/>
      <c r="B31" s="963" t="s">
        <v>408</v>
      </c>
      <c r="C31" s="868" t="s">
        <v>61</v>
      </c>
      <c r="D31" s="957"/>
      <c r="E31" s="958">
        <v>1</v>
      </c>
      <c r="F31" s="818"/>
      <c r="G31" s="818">
        <f>E31*F31</f>
        <v>0</v>
      </c>
      <c r="H31" s="960"/>
      <c r="I31" s="839"/>
      <c r="J31" s="839"/>
      <c r="K31" s="839"/>
      <c r="L31" s="818">
        <f>K31+I31+G31</f>
        <v>0</v>
      </c>
    </row>
    <row r="32" spans="1:12" s="17" customFormat="1">
      <c r="A32" s="1054"/>
      <c r="B32" s="1055" t="s">
        <v>240</v>
      </c>
      <c r="C32" s="1056" t="s">
        <v>61</v>
      </c>
      <c r="D32" s="827"/>
      <c r="E32" s="827">
        <v>2</v>
      </c>
      <c r="F32" s="827"/>
      <c r="G32" s="827">
        <f>F32*E32</f>
        <v>0</v>
      </c>
      <c r="H32" s="1057"/>
      <c r="I32" s="827"/>
      <c r="J32" s="827"/>
      <c r="K32" s="827"/>
      <c r="L32" s="818">
        <f>K32+I32+G32</f>
        <v>0</v>
      </c>
    </row>
    <row r="33" spans="1:25">
      <c r="A33" s="839"/>
      <c r="B33" s="861" t="s">
        <v>51</v>
      </c>
      <c r="C33" s="868" t="s">
        <v>2</v>
      </c>
      <c r="D33" s="957">
        <v>7.0000000000000007E-2</v>
      </c>
      <c r="E33" s="958">
        <f>D33*E28</f>
        <v>7.0000000000000007E-2</v>
      </c>
      <c r="F33" s="959"/>
      <c r="G33" s="818">
        <f>E33*F33</f>
        <v>0</v>
      </c>
      <c r="H33" s="960"/>
      <c r="I33" s="839"/>
      <c r="J33" s="839"/>
      <c r="K33" s="839"/>
      <c r="L33" s="818">
        <f>K33+I33+G33</f>
        <v>0</v>
      </c>
    </row>
    <row r="34" spans="1:25" s="39" customFormat="1" ht="28.2" customHeight="1">
      <c r="A34" s="349">
        <v>4</v>
      </c>
      <c r="B34" s="350" t="s">
        <v>113</v>
      </c>
      <c r="C34" s="351" t="s">
        <v>61</v>
      </c>
      <c r="D34" s="352"/>
      <c r="E34" s="353">
        <v>1</v>
      </c>
      <c r="F34" s="354"/>
      <c r="G34" s="355"/>
      <c r="H34" s="348"/>
      <c r="I34" s="355"/>
      <c r="J34" s="355"/>
      <c r="K34" s="355"/>
      <c r="L34" s="355"/>
      <c r="M34" s="299"/>
      <c r="N34" s="299"/>
    </row>
    <row r="35" spans="1:25" customFormat="1">
      <c r="A35" s="116"/>
      <c r="B35" s="227" t="s">
        <v>42</v>
      </c>
      <c r="C35" s="116" t="s">
        <v>43</v>
      </c>
      <c r="D35" s="116">
        <v>8.2200000000000006</v>
      </c>
      <c r="E35" s="1133">
        <f>D35*E34</f>
        <v>8.2200000000000006</v>
      </c>
      <c r="F35" s="116"/>
      <c r="G35" s="127"/>
      <c r="H35" s="97"/>
      <c r="I35" s="1214">
        <f>H35*E35</f>
        <v>0</v>
      </c>
      <c r="J35" s="209"/>
      <c r="K35" s="209"/>
      <c r="L35" s="127">
        <f>K35+I35+G35</f>
        <v>0</v>
      </c>
      <c r="M35" s="17"/>
      <c r="N35" s="17"/>
    </row>
    <row r="36" spans="1:25" customFormat="1">
      <c r="A36" s="116"/>
      <c r="B36" s="227" t="s">
        <v>49</v>
      </c>
      <c r="C36" s="116" t="s">
        <v>2</v>
      </c>
      <c r="D36" s="116">
        <v>0.31</v>
      </c>
      <c r="E36" s="101">
        <f>E34*D36</f>
        <v>0.31</v>
      </c>
      <c r="F36" s="116"/>
      <c r="G36" s="127"/>
      <c r="H36" s="97"/>
      <c r="I36" s="209"/>
      <c r="J36" s="209"/>
      <c r="K36" s="1214">
        <f>J36*E36</f>
        <v>0</v>
      </c>
      <c r="L36" s="127">
        <f>K36+I36+G36</f>
        <v>0</v>
      </c>
      <c r="M36" s="17"/>
      <c r="N36" s="17"/>
    </row>
    <row r="37" spans="1:25" s="17" customFormat="1" ht="28.8">
      <c r="A37" s="1054"/>
      <c r="B37" s="1055" t="s">
        <v>409</v>
      </c>
      <c r="C37" s="1056" t="s">
        <v>61</v>
      </c>
      <c r="D37" s="827">
        <v>1</v>
      </c>
      <c r="E37" s="827">
        <f>D37*E34</f>
        <v>1</v>
      </c>
      <c r="F37" s="827"/>
      <c r="G37" s="827">
        <f>F37*E37</f>
        <v>0</v>
      </c>
      <c r="H37" s="1057"/>
      <c r="I37" s="827"/>
      <c r="J37" s="827"/>
      <c r="K37" s="827"/>
      <c r="L37" s="818">
        <f>K37+I37+G37</f>
        <v>0</v>
      </c>
    </row>
    <row r="38" spans="1:25" s="17" customFormat="1">
      <c r="A38" s="635"/>
      <c r="B38" s="701" t="s">
        <v>240</v>
      </c>
      <c r="C38" s="239" t="s">
        <v>61</v>
      </c>
      <c r="D38" s="610"/>
      <c r="E38" s="610">
        <v>2</v>
      </c>
      <c r="F38" s="610"/>
      <c r="G38" s="127">
        <f>F38*E38</f>
        <v>0</v>
      </c>
      <c r="H38" s="97"/>
      <c r="I38" s="127"/>
      <c r="J38" s="127"/>
      <c r="K38" s="127"/>
      <c r="L38" s="70">
        <f>K38+I38+G38</f>
        <v>0</v>
      </c>
    </row>
    <row r="39" spans="1:25" s="17" customFormat="1">
      <c r="A39" s="144"/>
      <c r="B39" s="240" t="s">
        <v>51</v>
      </c>
      <c r="C39" s="149" t="s">
        <v>2</v>
      </c>
      <c r="D39" s="241">
        <v>0.2</v>
      </c>
      <c r="E39" s="145">
        <f>D39*E34</f>
        <v>0.2</v>
      </c>
      <c r="F39" s="145"/>
      <c r="G39" s="230">
        <f>F39*E39</f>
        <v>0</v>
      </c>
      <c r="H39" s="584"/>
      <c r="I39" s="105"/>
      <c r="J39" s="145"/>
      <c r="K39" s="146"/>
      <c r="L39" s="145">
        <f>K39+I39+G39</f>
        <v>0</v>
      </c>
    </row>
    <row r="40" spans="1:25" s="38" customFormat="1" ht="30">
      <c r="A40" s="321">
        <v>5</v>
      </c>
      <c r="B40" s="332" t="s">
        <v>114</v>
      </c>
      <c r="C40" s="333" t="s">
        <v>61</v>
      </c>
      <c r="D40" s="347"/>
      <c r="E40" s="347">
        <v>9</v>
      </c>
      <c r="F40" s="321"/>
      <c r="G40" s="321"/>
      <c r="H40" s="348"/>
      <c r="I40" s="321"/>
      <c r="J40" s="321"/>
      <c r="K40" s="321"/>
      <c r="L40" s="321"/>
      <c r="M40" s="37"/>
      <c r="N40" s="37"/>
    </row>
    <row r="41" spans="1:25" s="38" customFormat="1">
      <c r="A41" s="814"/>
      <c r="B41" s="963" t="s">
        <v>42</v>
      </c>
      <c r="C41" s="868" t="s">
        <v>43</v>
      </c>
      <c r="D41" s="868">
        <v>1.51</v>
      </c>
      <c r="E41" s="868">
        <f>D41*E40</f>
        <v>13.59</v>
      </c>
      <c r="F41" s="814"/>
      <c r="G41" s="814"/>
      <c r="H41" s="964"/>
      <c r="I41" s="818">
        <f>H41*E41</f>
        <v>0</v>
      </c>
      <c r="J41" s="814"/>
      <c r="K41" s="818"/>
      <c r="L41" s="818">
        <f>K41+I41+G41</f>
        <v>0</v>
      </c>
      <c r="M41" s="37"/>
      <c r="N41" s="37"/>
    </row>
    <row r="42" spans="1:25" s="37" customFormat="1" ht="16.2">
      <c r="A42" s="814"/>
      <c r="B42" s="1058" t="s">
        <v>49</v>
      </c>
      <c r="C42" s="1050" t="s">
        <v>2</v>
      </c>
      <c r="D42" s="957">
        <v>0.13</v>
      </c>
      <c r="E42" s="958">
        <f>D42*E40</f>
        <v>1.17</v>
      </c>
      <c r="F42" s="814"/>
      <c r="G42" s="814"/>
      <c r="H42" s="964"/>
      <c r="I42" s="814"/>
      <c r="J42" s="814"/>
      <c r="K42" s="818">
        <f>E42*J42</f>
        <v>0</v>
      </c>
      <c r="L42" s="818">
        <f>K42+I42+G42</f>
        <v>0</v>
      </c>
    </row>
    <row r="43" spans="1:25" s="37" customFormat="1">
      <c r="A43" s="814"/>
      <c r="B43" s="1059" t="s">
        <v>165</v>
      </c>
      <c r="C43" s="868" t="s">
        <v>61</v>
      </c>
      <c r="D43" s="818"/>
      <c r="E43" s="958">
        <v>2</v>
      </c>
      <c r="F43" s="818"/>
      <c r="G43" s="818">
        <f>E43*F43</f>
        <v>0</v>
      </c>
      <c r="H43" s="964"/>
      <c r="I43" s="814"/>
      <c r="J43" s="814"/>
      <c r="K43" s="814"/>
      <c r="L43" s="818">
        <f>K43+I43+G43</f>
        <v>0</v>
      </c>
    </row>
    <row r="44" spans="1:25" s="37" customFormat="1">
      <c r="A44" s="839"/>
      <c r="B44" s="1060" t="s">
        <v>386</v>
      </c>
      <c r="C44" s="868" t="s">
        <v>61</v>
      </c>
      <c r="D44" s="818"/>
      <c r="E44" s="958">
        <v>7</v>
      </c>
      <c r="F44" s="818"/>
      <c r="G44" s="818">
        <f>E44*F44</f>
        <v>0</v>
      </c>
      <c r="H44" s="964"/>
      <c r="I44" s="814"/>
      <c r="J44" s="814"/>
      <c r="K44" s="814"/>
      <c r="L44" s="818">
        <f>K44+I44+G44</f>
        <v>0</v>
      </c>
    </row>
    <row r="45" spans="1:25" s="37" customFormat="1">
      <c r="A45" s="839"/>
      <c r="B45" s="861" t="s">
        <v>51</v>
      </c>
      <c r="C45" s="868" t="s">
        <v>2</v>
      </c>
      <c r="D45" s="957">
        <v>7.0000000000000007E-2</v>
      </c>
      <c r="E45" s="958">
        <f>D45*E40</f>
        <v>0.63000000000000012</v>
      </c>
      <c r="F45" s="959"/>
      <c r="G45" s="818">
        <f>E45*F45</f>
        <v>0</v>
      </c>
      <c r="H45" s="960"/>
      <c r="I45" s="839"/>
      <c r="J45" s="839"/>
      <c r="K45" s="839"/>
      <c r="L45" s="818">
        <f>K45+I45+G45</f>
        <v>0</v>
      </c>
    </row>
    <row r="46" spans="1:25" s="37" customFormat="1">
      <c r="A46" s="723"/>
      <c r="B46" s="731" t="s">
        <v>247</v>
      </c>
      <c r="C46" s="711"/>
      <c r="D46" s="713"/>
      <c r="E46" s="706"/>
      <c r="F46" s="721"/>
      <c r="G46" s="730"/>
      <c r="H46" s="722"/>
      <c r="I46" s="723"/>
      <c r="J46" s="723"/>
      <c r="K46" s="723"/>
      <c r="L46" s="707"/>
    </row>
    <row r="47" spans="1:25" ht="45">
      <c r="A47" s="313">
        <v>6</v>
      </c>
      <c r="B47" s="332" t="s">
        <v>116</v>
      </c>
      <c r="C47" s="333" t="s">
        <v>65</v>
      </c>
      <c r="D47" s="333"/>
      <c r="E47" s="333">
        <v>14</v>
      </c>
      <c r="F47" s="313"/>
      <c r="G47" s="313"/>
      <c r="H47" s="345"/>
      <c r="I47" s="313"/>
      <c r="J47" s="313"/>
      <c r="K47" s="313"/>
      <c r="L47" s="313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</row>
    <row r="48" spans="1:25">
      <c r="A48" s="611"/>
      <c r="B48" s="231" t="s">
        <v>42</v>
      </c>
      <c r="C48" s="149" t="s">
        <v>43</v>
      </c>
      <c r="D48" s="149">
        <v>0.60899999999999999</v>
      </c>
      <c r="E48" s="149">
        <f>D48*E47</f>
        <v>8.5259999999999998</v>
      </c>
      <c r="F48" s="611"/>
      <c r="G48" s="611"/>
      <c r="H48" s="612"/>
      <c r="I48" s="70">
        <f>H48*E48</f>
        <v>0</v>
      </c>
      <c r="J48" s="611"/>
      <c r="K48" s="70"/>
      <c r="L48" s="70">
        <f t="shared" ref="L48:L55" si="4">K48+I48+G48</f>
        <v>0</v>
      </c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1:25">
      <c r="A49" s="611"/>
      <c r="B49" s="231" t="s">
        <v>49</v>
      </c>
      <c r="C49" s="149" t="s">
        <v>2</v>
      </c>
      <c r="D49" s="232">
        <v>2.0999999999999999E-3</v>
      </c>
      <c r="E49" s="242">
        <f>D49*E47</f>
        <v>2.9399999999999999E-2</v>
      </c>
      <c r="F49" s="611"/>
      <c r="G49" s="611"/>
      <c r="H49" s="612"/>
      <c r="I49" s="611"/>
      <c r="J49" s="611"/>
      <c r="K49" s="70">
        <f>E49*J49</f>
        <v>0</v>
      </c>
      <c r="L49" s="70">
        <f t="shared" si="4"/>
        <v>0</v>
      </c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</row>
    <row r="50" spans="1:25" ht="27.6" customHeight="1">
      <c r="A50" s="611"/>
      <c r="B50" s="246" t="s">
        <v>117</v>
      </c>
      <c r="C50" s="149" t="s">
        <v>94</v>
      </c>
      <c r="D50" s="149">
        <v>1</v>
      </c>
      <c r="E50" s="149">
        <f>D50*E47</f>
        <v>14</v>
      </c>
      <c r="F50" s="125"/>
      <c r="G50" s="70">
        <f t="shared" ref="G50:G55" si="5">E50*F50</f>
        <v>0</v>
      </c>
      <c r="H50" s="612"/>
      <c r="I50" s="611"/>
      <c r="J50" s="611"/>
      <c r="K50" s="611"/>
      <c r="L50" s="70">
        <f t="shared" si="4"/>
        <v>0</v>
      </c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</row>
    <row r="51" spans="1:25">
      <c r="A51" s="611"/>
      <c r="B51" s="235" t="s">
        <v>118</v>
      </c>
      <c r="C51" s="149" t="s">
        <v>61</v>
      </c>
      <c r="D51" s="149"/>
      <c r="E51" s="149">
        <v>4</v>
      </c>
      <c r="F51" s="611"/>
      <c r="G51" s="70">
        <f t="shared" si="5"/>
        <v>0</v>
      </c>
      <c r="H51" s="612"/>
      <c r="I51" s="611"/>
      <c r="J51" s="611"/>
      <c r="K51" s="611"/>
      <c r="L51" s="70">
        <f t="shared" si="4"/>
        <v>0</v>
      </c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</row>
    <row r="52" spans="1:25">
      <c r="A52" s="611"/>
      <c r="B52" s="235" t="s">
        <v>119</v>
      </c>
      <c r="C52" s="149" t="s">
        <v>61</v>
      </c>
      <c r="D52" s="149"/>
      <c r="E52" s="149">
        <v>2</v>
      </c>
      <c r="F52" s="611"/>
      <c r="G52" s="70">
        <f t="shared" si="5"/>
        <v>0</v>
      </c>
      <c r="H52" s="612"/>
      <c r="I52" s="611"/>
      <c r="J52" s="611"/>
      <c r="K52" s="611"/>
      <c r="L52" s="70">
        <f t="shared" si="4"/>
        <v>0</v>
      </c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</row>
    <row r="53" spans="1:25" ht="16.2">
      <c r="A53" s="611"/>
      <c r="B53" s="235" t="s">
        <v>151</v>
      </c>
      <c r="C53" s="149" t="s">
        <v>61</v>
      </c>
      <c r="D53" s="149"/>
      <c r="E53" s="149">
        <v>1</v>
      </c>
      <c r="F53" s="611"/>
      <c r="G53" s="70">
        <f t="shared" si="5"/>
        <v>0</v>
      </c>
      <c r="H53" s="612"/>
      <c r="I53" s="611"/>
      <c r="J53" s="611"/>
      <c r="K53" s="611"/>
      <c r="L53" s="70">
        <f t="shared" si="4"/>
        <v>0</v>
      </c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</row>
    <row r="54" spans="1:25" ht="29.4">
      <c r="A54" s="814"/>
      <c r="B54" s="1061" t="s">
        <v>243</v>
      </c>
      <c r="C54" s="868" t="s">
        <v>61</v>
      </c>
      <c r="D54" s="868"/>
      <c r="E54" s="868">
        <v>4</v>
      </c>
      <c r="F54" s="814"/>
      <c r="G54" s="818">
        <f t="shared" si="5"/>
        <v>0</v>
      </c>
      <c r="H54" s="964"/>
      <c r="I54" s="814"/>
      <c r="J54" s="814"/>
      <c r="K54" s="814"/>
      <c r="L54" s="818">
        <f>K54+I54+G54</f>
        <v>0</v>
      </c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</row>
    <row r="55" spans="1:25">
      <c r="A55" s="525"/>
      <c r="B55" s="152" t="s">
        <v>51</v>
      </c>
      <c r="C55" s="149" t="s">
        <v>2</v>
      </c>
      <c r="D55" s="232">
        <v>0.156</v>
      </c>
      <c r="E55" s="233">
        <f>D55*E47</f>
        <v>2.1840000000000002</v>
      </c>
      <c r="F55" s="229"/>
      <c r="G55" s="70">
        <f t="shared" si="5"/>
        <v>0</v>
      </c>
      <c r="H55" s="259"/>
      <c r="I55" s="525"/>
      <c r="J55" s="525"/>
      <c r="K55" s="525"/>
      <c r="L55" s="70">
        <f t="shared" si="4"/>
        <v>0</v>
      </c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</row>
    <row r="56" spans="1:25" ht="16.2">
      <c r="A56" s="360">
        <v>7</v>
      </c>
      <c r="B56" s="361" t="s">
        <v>122</v>
      </c>
      <c r="C56" s="339" t="s">
        <v>121</v>
      </c>
      <c r="D56" s="339"/>
      <c r="E56" s="341">
        <v>1</v>
      </c>
      <c r="F56" s="341"/>
      <c r="G56" s="342"/>
      <c r="H56" s="343"/>
      <c r="I56" s="342"/>
      <c r="J56" s="341"/>
      <c r="K56" s="342"/>
      <c r="L56" s="342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</row>
    <row r="57" spans="1:25">
      <c r="A57" s="814"/>
      <c r="B57" s="963" t="s">
        <v>42</v>
      </c>
      <c r="C57" s="868" t="s">
        <v>121</v>
      </c>
      <c r="D57" s="868">
        <v>1</v>
      </c>
      <c r="E57" s="868">
        <f>D57*E56</f>
        <v>1</v>
      </c>
      <c r="F57" s="814"/>
      <c r="G57" s="814"/>
      <c r="H57" s="964"/>
      <c r="I57" s="818">
        <f>H57*E57</f>
        <v>0</v>
      </c>
      <c r="J57" s="814"/>
      <c r="K57" s="818"/>
      <c r="L57" s="818">
        <f t="shared" ref="L57:L62" si="6">K57+I57+G57</f>
        <v>0</v>
      </c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</row>
    <row r="58" spans="1:25" ht="21.9" customHeight="1">
      <c r="A58" s="850"/>
      <c r="B58" s="963" t="s">
        <v>49</v>
      </c>
      <c r="C58" s="868" t="s">
        <v>2</v>
      </c>
      <c r="D58" s="868">
        <v>0.13</v>
      </c>
      <c r="E58" s="705">
        <f>E56*D58</f>
        <v>0.13</v>
      </c>
      <c r="F58" s="850"/>
      <c r="G58" s="850"/>
      <c r="H58" s="964"/>
      <c r="I58" s="814"/>
      <c r="J58" s="814"/>
      <c r="K58" s="818">
        <f>J58*E58</f>
        <v>0</v>
      </c>
      <c r="L58" s="818">
        <f t="shared" si="6"/>
        <v>0</v>
      </c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</row>
    <row r="59" spans="1:25" ht="16.2">
      <c r="A59" s="773"/>
      <c r="B59" s="1049" t="s">
        <v>410</v>
      </c>
      <c r="C59" s="868" t="s">
        <v>121</v>
      </c>
      <c r="D59" s="1050">
        <v>1</v>
      </c>
      <c r="E59" s="1051">
        <f>D59*E56</f>
        <v>1</v>
      </c>
      <c r="F59" s="1051"/>
      <c r="G59" s="1051">
        <f>F59*E59</f>
        <v>0</v>
      </c>
      <c r="H59" s="982"/>
      <c r="I59" s="1052"/>
      <c r="J59" s="1053"/>
      <c r="K59" s="1052"/>
      <c r="L59" s="818">
        <f t="shared" si="6"/>
        <v>0</v>
      </c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</row>
    <row r="60" spans="1:25" ht="16.2">
      <c r="A60" s="773"/>
      <c r="B60" s="1049" t="s">
        <v>385</v>
      </c>
      <c r="C60" s="1056" t="s">
        <v>61</v>
      </c>
      <c r="D60" s="1050"/>
      <c r="E60" s="1051">
        <v>1</v>
      </c>
      <c r="F60" s="1051"/>
      <c r="G60" s="1051">
        <f>F60*E60</f>
        <v>0</v>
      </c>
      <c r="H60" s="982"/>
      <c r="I60" s="1052"/>
      <c r="J60" s="1053"/>
      <c r="K60" s="1052"/>
      <c r="L60" s="818">
        <f t="shared" si="6"/>
        <v>0</v>
      </c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</row>
    <row r="61" spans="1:25" s="17" customFormat="1">
      <c r="A61" s="1054"/>
      <c r="B61" s="1055" t="s">
        <v>240</v>
      </c>
      <c r="C61" s="1056" t="s">
        <v>61</v>
      </c>
      <c r="D61" s="827"/>
      <c r="E61" s="827">
        <v>1</v>
      </c>
      <c r="F61" s="827"/>
      <c r="G61" s="827">
        <f>F61*E61</f>
        <v>0</v>
      </c>
      <c r="H61" s="1057"/>
      <c r="I61" s="827"/>
      <c r="J61" s="827"/>
      <c r="K61" s="827"/>
      <c r="L61" s="818">
        <f t="shared" si="6"/>
        <v>0</v>
      </c>
    </row>
    <row r="62" spans="1:25">
      <c r="A62" s="839"/>
      <c r="B62" s="861" t="s">
        <v>51</v>
      </c>
      <c r="C62" s="868" t="s">
        <v>2</v>
      </c>
      <c r="D62" s="957">
        <v>0.94</v>
      </c>
      <c r="E62" s="958">
        <f>D62*E56</f>
        <v>0.94</v>
      </c>
      <c r="F62" s="959"/>
      <c r="G62" s="818">
        <f>E62*F62</f>
        <v>0</v>
      </c>
      <c r="H62" s="960"/>
      <c r="I62" s="839"/>
      <c r="J62" s="839"/>
      <c r="K62" s="839"/>
      <c r="L62" s="818">
        <f t="shared" si="6"/>
        <v>0</v>
      </c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</row>
    <row r="63" spans="1:25">
      <c r="A63" s="810">
        <v>8</v>
      </c>
      <c r="B63" s="1099" t="s">
        <v>145</v>
      </c>
      <c r="C63" s="1100" t="s">
        <v>96</v>
      </c>
      <c r="D63" s="1101"/>
      <c r="E63" s="1102">
        <v>1</v>
      </c>
      <c r="F63" s="1103"/>
      <c r="G63" s="810"/>
      <c r="H63" s="992"/>
      <c r="I63" s="810"/>
      <c r="J63" s="810"/>
      <c r="K63" s="810"/>
      <c r="L63" s="813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</row>
    <row r="64" spans="1:25">
      <c r="A64" s="814"/>
      <c r="B64" s="963" t="s">
        <v>42</v>
      </c>
      <c r="C64" s="868" t="s">
        <v>121</v>
      </c>
      <c r="D64" s="868">
        <v>1</v>
      </c>
      <c r="E64" s="868">
        <f>D64*E63</f>
        <v>1</v>
      </c>
      <c r="F64" s="814"/>
      <c r="G64" s="814"/>
      <c r="H64" s="964"/>
      <c r="I64" s="818">
        <f>H64*E64</f>
        <v>0</v>
      </c>
      <c r="J64" s="814"/>
      <c r="K64" s="818"/>
      <c r="L64" s="818">
        <f t="shared" ref="L64:L68" si="7">K64+I64+G64</f>
        <v>0</v>
      </c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</row>
    <row r="65" spans="1:25">
      <c r="A65" s="850"/>
      <c r="B65" s="963" t="s">
        <v>49</v>
      </c>
      <c r="C65" s="868" t="s">
        <v>2</v>
      </c>
      <c r="D65" s="868">
        <v>7.0000000000000007E-2</v>
      </c>
      <c r="E65" s="705">
        <f>E63*D65</f>
        <v>7.0000000000000007E-2</v>
      </c>
      <c r="F65" s="850"/>
      <c r="G65" s="850"/>
      <c r="H65" s="964"/>
      <c r="I65" s="814"/>
      <c r="J65" s="814"/>
      <c r="K65" s="818">
        <f>J65*E65</f>
        <v>0</v>
      </c>
      <c r="L65" s="818">
        <f t="shared" si="7"/>
        <v>0</v>
      </c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</row>
    <row r="66" spans="1:25">
      <c r="A66" s="850"/>
      <c r="B66" s="963" t="s">
        <v>411</v>
      </c>
      <c r="C66" s="868" t="s">
        <v>121</v>
      </c>
      <c r="D66" s="868">
        <v>1</v>
      </c>
      <c r="E66" s="705">
        <f>D66*E63</f>
        <v>1</v>
      </c>
      <c r="F66" s="540"/>
      <c r="G66" s="818">
        <f>E66*F66</f>
        <v>0</v>
      </c>
      <c r="H66" s="960"/>
      <c r="I66" s="839"/>
      <c r="J66" s="839"/>
      <c r="K66" s="839"/>
      <c r="L66" s="818">
        <f t="shared" si="7"/>
        <v>0</v>
      </c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</row>
    <row r="67" spans="1:25">
      <c r="A67" s="850"/>
      <c r="B67" s="963" t="s">
        <v>384</v>
      </c>
      <c r="C67" s="868" t="s">
        <v>121</v>
      </c>
      <c r="D67" s="868">
        <v>1</v>
      </c>
      <c r="E67" s="705">
        <v>1</v>
      </c>
      <c r="F67" s="540"/>
      <c r="G67" s="818">
        <f>E67*F67</f>
        <v>0</v>
      </c>
      <c r="H67" s="960"/>
      <c r="I67" s="839"/>
      <c r="J67" s="839"/>
      <c r="K67" s="839"/>
      <c r="L67" s="818">
        <f t="shared" si="7"/>
        <v>0</v>
      </c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</row>
    <row r="68" spans="1:25">
      <c r="A68" s="839"/>
      <c r="B68" s="861" t="s">
        <v>51</v>
      </c>
      <c r="C68" s="868" t="s">
        <v>2</v>
      </c>
      <c r="D68" s="957">
        <v>0.37</v>
      </c>
      <c r="E68" s="958">
        <f>D68*E63</f>
        <v>0.37</v>
      </c>
      <c r="F68" s="959"/>
      <c r="G68" s="818">
        <f>E68*F68</f>
        <v>0</v>
      </c>
      <c r="H68" s="960"/>
      <c r="I68" s="839"/>
      <c r="J68" s="839"/>
      <c r="K68" s="839"/>
      <c r="L68" s="818">
        <f t="shared" si="7"/>
        <v>0</v>
      </c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</row>
    <row r="69" spans="1:25">
      <c r="A69" s="839"/>
      <c r="B69" s="861"/>
      <c r="C69" s="868"/>
      <c r="D69" s="957"/>
      <c r="E69" s="958"/>
      <c r="F69" s="959"/>
      <c r="G69" s="814"/>
      <c r="H69" s="960"/>
      <c r="I69" s="839"/>
      <c r="J69" s="839"/>
      <c r="K69" s="839"/>
      <c r="L69" s="818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</row>
    <row r="70" spans="1:25">
      <c r="A70" s="356"/>
      <c r="B70" s="356" t="s">
        <v>115</v>
      </c>
      <c r="C70" s="356"/>
      <c r="D70" s="357"/>
      <c r="E70" s="356"/>
      <c r="F70" s="356"/>
      <c r="G70" s="358">
        <f>SUM(G9:G69)</f>
        <v>0</v>
      </c>
      <c r="H70" s="359"/>
      <c r="I70" s="358">
        <f>SUM(I9:I69)</f>
        <v>0</v>
      </c>
      <c r="J70" s="358"/>
      <c r="K70" s="358">
        <f>SUM(K9:K69)</f>
        <v>0</v>
      </c>
      <c r="L70" s="358">
        <f>SUM(L9:L69)</f>
        <v>0</v>
      </c>
    </row>
    <row r="71" spans="1:25" s="189" customFormat="1" ht="16.5" customHeight="1">
      <c r="A71" s="822"/>
      <c r="B71" s="832" t="s">
        <v>328</v>
      </c>
      <c r="C71" s="955">
        <v>0.05</v>
      </c>
      <c r="D71" s="823"/>
      <c r="E71" s="824"/>
      <c r="F71" s="824"/>
      <c r="G71" s="827"/>
      <c r="H71" s="824"/>
      <c r="I71" s="827"/>
      <c r="J71" s="826"/>
      <c r="K71" s="827"/>
      <c r="L71" s="827">
        <f>G70*C71</f>
        <v>0</v>
      </c>
      <c r="M71" s="153"/>
      <c r="N71" s="128"/>
      <c r="T71" s="284"/>
    </row>
    <row r="72" spans="1:25" s="189" customFormat="1" ht="16.5" customHeight="1">
      <c r="A72" s="822"/>
      <c r="B72" s="129" t="s">
        <v>21</v>
      </c>
      <c r="C72" s="814"/>
      <c r="D72" s="823"/>
      <c r="E72" s="824"/>
      <c r="F72" s="824"/>
      <c r="G72" s="827"/>
      <c r="H72" s="824"/>
      <c r="I72" s="827"/>
      <c r="J72" s="826"/>
      <c r="K72" s="827"/>
      <c r="L72" s="956">
        <f>L70+L71</f>
        <v>0</v>
      </c>
      <c r="M72" s="153"/>
      <c r="N72" s="128"/>
      <c r="T72" s="284"/>
    </row>
    <row r="73" spans="1:25">
      <c r="A73" s="525"/>
      <c r="B73" s="947" t="s">
        <v>84</v>
      </c>
      <c r="C73" s="206">
        <v>0.12</v>
      </c>
      <c r="D73" s="947"/>
      <c r="E73" s="206"/>
      <c r="F73" s="947"/>
      <c r="G73" s="207"/>
      <c r="H73" s="946"/>
      <c r="I73" s="207"/>
      <c r="J73" s="207"/>
      <c r="K73" s="207"/>
      <c r="L73" s="207">
        <f>L72*C73</f>
        <v>0</v>
      </c>
    </row>
    <row r="74" spans="1:25">
      <c r="A74" s="525"/>
      <c r="B74" s="947" t="s">
        <v>21</v>
      </c>
      <c r="C74" s="525"/>
      <c r="D74" s="947"/>
      <c r="E74" s="525"/>
      <c r="F74" s="525"/>
      <c r="G74" s="208"/>
      <c r="H74" s="259"/>
      <c r="I74" s="208"/>
      <c r="J74" s="208"/>
      <c r="K74" s="208"/>
      <c r="L74" s="208">
        <f>L72+L73</f>
        <v>0</v>
      </c>
    </row>
    <row r="75" spans="1:25">
      <c r="A75" s="525"/>
      <c r="B75" s="947" t="s">
        <v>87</v>
      </c>
      <c r="C75" s="206">
        <v>0.08</v>
      </c>
      <c r="D75" s="947"/>
      <c r="E75" s="206"/>
      <c r="F75" s="947"/>
      <c r="G75" s="207"/>
      <c r="H75" s="946"/>
      <c r="I75" s="207"/>
      <c r="J75" s="207"/>
      <c r="K75" s="207"/>
      <c r="L75" s="207">
        <f>L74*C75</f>
        <v>0</v>
      </c>
    </row>
    <row r="76" spans="1:25">
      <c r="A76" s="525"/>
      <c r="B76" s="947" t="s">
        <v>21</v>
      </c>
      <c r="C76" s="525"/>
      <c r="D76" s="947"/>
      <c r="E76" s="525"/>
      <c r="F76" s="525"/>
      <c r="G76" s="208"/>
      <c r="H76" s="259"/>
      <c r="I76" s="208"/>
      <c r="J76" s="208"/>
      <c r="K76" s="208"/>
      <c r="L76" s="208">
        <f>SUM(L74:L75)</f>
        <v>0</v>
      </c>
    </row>
    <row r="77" spans="1:25" ht="21.9" customHeight="1">
      <c r="A77" s="45"/>
      <c r="B77" s="46"/>
      <c r="C77" s="47"/>
      <c r="D77" s="46"/>
      <c r="E77" s="46"/>
      <c r="F77" s="46"/>
      <c r="G77" s="46"/>
      <c r="H77" s="272"/>
      <c r="I77" s="46"/>
      <c r="J77" s="48"/>
      <c r="K77" s="46"/>
      <c r="L77" s="46"/>
    </row>
    <row r="78" spans="1:25" ht="21.9" customHeight="1">
      <c r="A78" s="45"/>
      <c r="B78" s="46"/>
      <c r="C78" s="47"/>
      <c r="D78" s="46"/>
      <c r="E78" s="46"/>
      <c r="F78" s="46"/>
      <c r="G78" s="46"/>
      <c r="H78" s="272"/>
      <c r="I78" s="46"/>
      <c r="J78" s="48"/>
      <c r="K78" s="46"/>
      <c r="L78" s="46"/>
    </row>
    <row r="79" spans="1:25" ht="21.9" customHeight="1">
      <c r="A79" s="45"/>
      <c r="B79" s="46"/>
      <c r="C79" s="47"/>
      <c r="D79" s="46"/>
      <c r="E79" s="46"/>
      <c r="F79" s="46"/>
      <c r="G79" s="46"/>
      <c r="H79" s="272"/>
      <c r="I79" s="46"/>
      <c r="J79" s="48"/>
      <c r="K79" s="46"/>
      <c r="L79" s="46"/>
    </row>
    <row r="80" spans="1:25" ht="21.9" customHeight="1">
      <c r="A80" s="45"/>
      <c r="B80" s="46"/>
      <c r="C80" s="47"/>
      <c r="D80" s="46"/>
      <c r="E80" s="46"/>
      <c r="F80" s="46"/>
      <c r="G80" s="46"/>
      <c r="H80" s="272"/>
      <c r="I80" s="46"/>
      <c r="J80" s="48"/>
      <c r="K80" s="46"/>
      <c r="L80" s="46"/>
    </row>
    <row r="81" spans="1:12" ht="21.9" customHeight="1">
      <c r="A81" s="45"/>
      <c r="B81" s="46"/>
      <c r="C81" s="47"/>
      <c r="D81" s="46"/>
      <c r="E81" s="46"/>
      <c r="F81" s="46"/>
      <c r="G81" s="46"/>
      <c r="H81" s="272"/>
      <c r="I81" s="46"/>
      <c r="J81" s="48"/>
      <c r="K81" s="46"/>
      <c r="L81" s="46"/>
    </row>
    <row r="82" spans="1:12" ht="21.9" customHeight="1">
      <c r="A82" s="45"/>
      <c r="B82" s="46"/>
      <c r="C82" s="47"/>
      <c r="D82" s="46"/>
      <c r="E82" s="46"/>
      <c r="F82" s="46"/>
      <c r="G82" s="46"/>
      <c r="H82" s="272"/>
      <c r="I82" s="46"/>
      <c r="J82" s="48"/>
      <c r="K82" s="46"/>
      <c r="L82" s="46"/>
    </row>
    <row r="83" spans="1:12" ht="21.9" customHeight="1">
      <c r="A83" s="45"/>
      <c r="B83" s="46"/>
      <c r="C83" s="47"/>
      <c r="D83" s="46"/>
      <c r="E83" s="46"/>
      <c r="F83" s="46"/>
      <c r="G83" s="46"/>
      <c r="H83" s="272"/>
      <c r="I83" s="46"/>
      <c r="J83" s="48"/>
      <c r="K83" s="46"/>
      <c r="L83" s="46"/>
    </row>
    <row r="84" spans="1:12" ht="21.9" customHeight="1">
      <c r="A84" s="45"/>
      <c r="B84" s="46"/>
      <c r="C84" s="47"/>
      <c r="D84" s="46"/>
      <c r="E84" s="46"/>
      <c r="F84" s="46"/>
      <c r="G84" s="46"/>
      <c r="H84" s="272"/>
      <c r="I84" s="46"/>
      <c r="J84" s="48"/>
      <c r="K84" s="46"/>
      <c r="L84" s="46"/>
    </row>
    <row r="85" spans="1:12" ht="21.9" customHeight="1">
      <c r="A85" s="45"/>
      <c r="B85" s="46"/>
      <c r="C85" s="47"/>
      <c r="D85" s="46"/>
      <c r="E85" s="46"/>
      <c r="F85" s="46"/>
      <c r="G85" s="46"/>
      <c r="H85" s="272"/>
      <c r="I85" s="46"/>
      <c r="J85" s="48"/>
      <c r="K85" s="46"/>
      <c r="L85" s="46"/>
    </row>
    <row r="86" spans="1:12" ht="21.9" customHeight="1">
      <c r="A86" s="45"/>
      <c r="B86" s="46"/>
      <c r="C86" s="47"/>
      <c r="D86" s="46"/>
      <c r="E86" s="46"/>
      <c r="F86" s="46"/>
      <c r="G86" s="46"/>
      <c r="H86" s="272"/>
      <c r="I86" s="46"/>
      <c r="J86" s="48"/>
      <c r="K86" s="46"/>
      <c r="L86" s="46"/>
    </row>
    <row r="87" spans="1:12" ht="21.9" customHeight="1">
      <c r="A87" s="45"/>
      <c r="B87" s="46"/>
      <c r="C87" s="47"/>
      <c r="D87" s="46"/>
      <c r="E87" s="46"/>
      <c r="F87" s="46"/>
      <c r="G87" s="46"/>
      <c r="H87" s="272"/>
      <c r="I87" s="46"/>
      <c r="J87" s="48"/>
      <c r="K87" s="46"/>
      <c r="L87" s="46"/>
    </row>
    <row r="88" spans="1:12" ht="21.9" customHeight="1">
      <c r="A88" s="45"/>
      <c r="B88" s="46"/>
      <c r="C88" s="47"/>
      <c r="D88" s="46"/>
      <c r="E88" s="46"/>
      <c r="F88" s="46"/>
      <c r="G88" s="46"/>
      <c r="H88" s="272"/>
      <c r="I88" s="46"/>
      <c r="J88" s="48"/>
      <c r="K88" s="46"/>
      <c r="L88" s="46"/>
    </row>
    <row r="89" spans="1:12" ht="21.9" customHeight="1">
      <c r="A89" s="45"/>
      <c r="B89" s="46"/>
      <c r="C89" s="47"/>
      <c r="D89" s="46"/>
      <c r="E89" s="46"/>
      <c r="F89" s="46"/>
      <c r="G89" s="46"/>
      <c r="H89" s="272"/>
      <c r="I89" s="46"/>
      <c r="J89" s="48"/>
      <c r="K89" s="46"/>
      <c r="L89" s="46"/>
    </row>
    <row r="90" spans="1:12" ht="21.9" customHeight="1">
      <c r="A90" s="45"/>
      <c r="B90" s="46"/>
      <c r="C90" s="47"/>
      <c r="D90" s="46"/>
      <c r="E90" s="46"/>
      <c r="F90" s="46"/>
      <c r="G90" s="46"/>
      <c r="H90" s="272"/>
      <c r="I90" s="46"/>
      <c r="J90" s="48"/>
      <c r="K90" s="46"/>
      <c r="L90" s="46"/>
    </row>
    <row r="91" spans="1:12" ht="21.9" customHeight="1">
      <c r="A91" s="45"/>
      <c r="B91" s="46"/>
      <c r="C91" s="47"/>
      <c r="D91" s="46"/>
      <c r="E91" s="46"/>
      <c r="F91" s="46"/>
      <c r="G91" s="46"/>
      <c r="H91" s="272"/>
      <c r="I91" s="46"/>
      <c r="J91" s="48"/>
      <c r="K91" s="46"/>
      <c r="L91" s="46"/>
    </row>
    <row r="92" spans="1:12" ht="21.9" customHeight="1">
      <c r="A92" s="45"/>
      <c r="B92" s="46"/>
      <c r="C92" s="47"/>
      <c r="D92" s="46"/>
      <c r="E92" s="46"/>
      <c r="F92" s="46"/>
      <c r="G92" s="46"/>
      <c r="H92" s="272"/>
      <c r="I92" s="46"/>
      <c r="J92" s="48"/>
      <c r="K92" s="46"/>
      <c r="L92" s="46"/>
    </row>
    <row r="93" spans="1:12" ht="21.9" customHeight="1">
      <c r="A93" s="45"/>
      <c r="B93" s="46"/>
      <c r="C93" s="47"/>
      <c r="D93" s="46"/>
      <c r="E93" s="46"/>
      <c r="F93" s="46"/>
      <c r="G93" s="46"/>
      <c r="H93" s="272"/>
      <c r="I93" s="46"/>
      <c r="J93" s="48"/>
      <c r="K93" s="46"/>
      <c r="L93" s="46"/>
    </row>
    <row r="94" spans="1:12" ht="21.9" customHeight="1">
      <c r="A94" s="45"/>
      <c r="B94" s="46"/>
      <c r="C94" s="47"/>
      <c r="D94" s="46"/>
      <c r="E94" s="46"/>
      <c r="F94" s="46"/>
      <c r="G94" s="46"/>
      <c r="H94" s="272"/>
      <c r="I94" s="46"/>
      <c r="J94" s="48"/>
      <c r="K94" s="46"/>
      <c r="L94" s="46"/>
    </row>
    <row r="95" spans="1:12" ht="21.9" customHeight="1">
      <c r="A95" s="45"/>
      <c r="B95" s="46"/>
      <c r="C95" s="47"/>
      <c r="D95" s="46"/>
      <c r="E95" s="46"/>
      <c r="F95" s="46"/>
      <c r="G95" s="46"/>
      <c r="H95" s="272"/>
      <c r="I95" s="46"/>
      <c r="J95" s="48"/>
      <c r="K95" s="46"/>
      <c r="L95" s="46"/>
    </row>
    <row r="96" spans="1:12" ht="21.9" customHeight="1">
      <c r="A96" s="45"/>
      <c r="B96" s="46"/>
      <c r="C96" s="47"/>
      <c r="D96" s="46"/>
      <c r="E96" s="46"/>
      <c r="F96" s="46"/>
      <c r="G96" s="46"/>
      <c r="H96" s="272"/>
      <c r="I96" s="46"/>
      <c r="J96" s="48"/>
      <c r="K96" s="46"/>
      <c r="L96" s="46"/>
    </row>
    <row r="97" spans="1:12" ht="21.9" customHeight="1">
      <c r="A97" s="45"/>
      <c r="B97" s="46"/>
      <c r="C97" s="47"/>
      <c r="D97" s="46"/>
      <c r="E97" s="46"/>
      <c r="F97" s="46"/>
      <c r="G97" s="46"/>
      <c r="H97" s="272"/>
      <c r="I97" s="46"/>
      <c r="J97" s="48"/>
      <c r="K97" s="46"/>
      <c r="L97" s="46"/>
    </row>
    <row r="98" spans="1:12" ht="21.9" customHeight="1">
      <c r="A98" s="45"/>
      <c r="B98" s="46"/>
      <c r="C98" s="47"/>
      <c r="D98" s="46"/>
      <c r="E98" s="46"/>
      <c r="F98" s="46"/>
      <c r="G98" s="46"/>
      <c r="H98" s="272"/>
      <c r="I98" s="46"/>
      <c r="J98" s="48"/>
      <c r="K98" s="46"/>
      <c r="L98" s="46"/>
    </row>
    <row r="99" spans="1:12" ht="21.9" customHeight="1">
      <c r="A99" s="45"/>
      <c r="B99" s="46"/>
      <c r="C99" s="47"/>
      <c r="D99" s="46"/>
      <c r="E99" s="46"/>
      <c r="F99" s="46"/>
      <c r="G99" s="46"/>
      <c r="H99" s="272"/>
      <c r="I99" s="46"/>
      <c r="J99" s="48"/>
      <c r="K99" s="46"/>
      <c r="L99" s="46"/>
    </row>
    <row r="100" spans="1:12" ht="21.9" customHeight="1">
      <c r="A100" s="45"/>
      <c r="B100" s="46"/>
      <c r="C100" s="47"/>
      <c r="D100" s="46"/>
      <c r="E100" s="46"/>
      <c r="F100" s="46"/>
      <c r="G100" s="46"/>
      <c r="H100" s="272"/>
      <c r="I100" s="46"/>
      <c r="J100" s="48"/>
      <c r="K100" s="46"/>
      <c r="L100" s="46"/>
    </row>
    <row r="101" spans="1:12" ht="21.9" customHeight="1">
      <c r="A101" s="45"/>
      <c r="B101" s="46"/>
      <c r="C101" s="47"/>
      <c r="D101" s="46"/>
      <c r="E101" s="46"/>
      <c r="F101" s="46"/>
      <c r="G101" s="46"/>
      <c r="H101" s="272"/>
      <c r="I101" s="46"/>
      <c r="J101" s="48"/>
      <c r="K101" s="46"/>
      <c r="L101" s="46"/>
    </row>
    <row r="102" spans="1:12" ht="21.9" customHeight="1">
      <c r="A102" s="45"/>
      <c r="B102" s="46"/>
      <c r="C102" s="47"/>
      <c r="D102" s="46"/>
      <c r="E102" s="46"/>
      <c r="F102" s="46"/>
      <c r="G102" s="46"/>
      <c r="H102" s="272"/>
      <c r="I102" s="46"/>
      <c r="J102" s="48"/>
      <c r="K102" s="46"/>
      <c r="L102" s="46"/>
    </row>
    <row r="103" spans="1:12" ht="21.9" customHeight="1">
      <c r="A103" s="45"/>
      <c r="B103" s="46"/>
      <c r="C103" s="47"/>
      <c r="D103" s="46"/>
      <c r="E103" s="46"/>
      <c r="F103" s="46"/>
      <c r="G103" s="46"/>
      <c r="H103" s="272"/>
      <c r="I103" s="46"/>
      <c r="J103" s="48"/>
      <c r="K103" s="46"/>
      <c r="L103" s="46"/>
    </row>
    <row r="104" spans="1:12" ht="21.9" customHeight="1">
      <c r="A104" s="45"/>
      <c r="B104" s="46"/>
      <c r="C104" s="47"/>
      <c r="D104" s="46"/>
      <c r="E104" s="46"/>
      <c r="F104" s="46"/>
      <c r="G104" s="46"/>
      <c r="H104" s="272"/>
      <c r="I104" s="46"/>
      <c r="J104" s="48"/>
      <c r="K104" s="46"/>
      <c r="L104" s="46"/>
    </row>
    <row r="105" spans="1:12" ht="21.9" customHeight="1">
      <c r="A105" s="45"/>
      <c r="B105" s="46"/>
      <c r="C105" s="47"/>
      <c r="D105" s="46"/>
      <c r="E105" s="46"/>
      <c r="F105" s="46"/>
      <c r="G105" s="46"/>
      <c r="H105" s="272"/>
      <c r="I105" s="46"/>
      <c r="J105" s="48"/>
      <c r="K105" s="46"/>
      <c r="L105" s="46"/>
    </row>
    <row r="106" spans="1:12" ht="21.9" customHeight="1">
      <c r="A106" s="45"/>
      <c r="B106" s="46"/>
      <c r="C106" s="47"/>
      <c r="D106" s="46"/>
      <c r="E106" s="46"/>
      <c r="F106" s="46"/>
      <c r="G106" s="46"/>
      <c r="H106" s="272"/>
      <c r="I106" s="46"/>
      <c r="J106" s="48"/>
      <c r="K106" s="46"/>
      <c r="L106" s="46"/>
    </row>
    <row r="107" spans="1:12" ht="21.9" customHeight="1">
      <c r="A107" s="45"/>
      <c r="B107" s="46"/>
      <c r="C107" s="47"/>
      <c r="D107" s="46"/>
      <c r="E107" s="46"/>
      <c r="F107" s="46"/>
      <c r="G107" s="46"/>
      <c r="H107" s="272"/>
      <c r="I107" s="46"/>
      <c r="J107" s="48"/>
      <c r="K107" s="46"/>
      <c r="L107" s="46"/>
    </row>
    <row r="108" spans="1:12" ht="21.9" customHeight="1">
      <c r="A108" s="45"/>
      <c r="B108" s="46"/>
      <c r="C108" s="47"/>
      <c r="D108" s="46"/>
      <c r="E108" s="46"/>
      <c r="F108" s="46"/>
      <c r="G108" s="46"/>
      <c r="H108" s="272"/>
      <c r="I108" s="46"/>
      <c r="J108" s="48"/>
      <c r="K108" s="46"/>
      <c r="L108" s="46"/>
    </row>
    <row r="109" spans="1:12" ht="21.9" customHeight="1">
      <c r="A109" s="45"/>
      <c r="B109" s="46"/>
      <c r="C109" s="47"/>
      <c r="D109" s="46"/>
      <c r="E109" s="46"/>
      <c r="F109" s="46"/>
      <c r="G109" s="46"/>
      <c r="H109" s="272"/>
      <c r="I109" s="46"/>
      <c r="J109" s="48"/>
      <c r="K109" s="46"/>
      <c r="L109" s="46"/>
    </row>
    <row r="110" spans="1:12" ht="21.9" customHeight="1">
      <c r="A110" s="45"/>
      <c r="B110" s="46"/>
      <c r="C110" s="47"/>
      <c r="D110" s="46"/>
      <c r="E110" s="46"/>
      <c r="F110" s="46"/>
      <c r="G110" s="46"/>
      <c r="H110" s="272"/>
      <c r="I110" s="46"/>
      <c r="J110" s="48"/>
      <c r="K110" s="46"/>
      <c r="L110" s="46"/>
    </row>
    <row r="111" spans="1:12" ht="21.9" customHeight="1">
      <c r="A111" s="45"/>
      <c r="B111" s="46"/>
      <c r="C111" s="47"/>
      <c r="D111" s="46"/>
      <c r="E111" s="46"/>
      <c r="F111" s="46"/>
      <c r="G111" s="46"/>
      <c r="H111" s="272"/>
      <c r="I111" s="46"/>
      <c r="J111" s="48"/>
      <c r="K111" s="46"/>
      <c r="L111" s="46"/>
    </row>
    <row r="112" spans="1:12" ht="21.9" customHeight="1">
      <c r="A112" s="45"/>
      <c r="B112" s="46"/>
      <c r="C112" s="47"/>
      <c r="D112" s="46"/>
      <c r="E112" s="46"/>
      <c r="F112" s="46"/>
      <c r="G112" s="46"/>
      <c r="H112" s="272"/>
      <c r="I112" s="46"/>
      <c r="J112" s="48"/>
      <c r="K112" s="46"/>
      <c r="L112" s="46"/>
    </row>
    <row r="113" spans="1:12" ht="21.9" customHeight="1">
      <c r="A113" s="45"/>
      <c r="B113" s="46"/>
      <c r="C113" s="47"/>
      <c r="D113" s="46"/>
      <c r="E113" s="46"/>
      <c r="F113" s="46"/>
      <c r="G113" s="46"/>
      <c r="H113" s="272"/>
      <c r="I113" s="46"/>
      <c r="J113" s="48"/>
      <c r="K113" s="46"/>
      <c r="L113" s="46"/>
    </row>
    <row r="114" spans="1:12" ht="21.9" customHeight="1">
      <c r="A114" s="45"/>
      <c r="B114" s="46"/>
      <c r="C114" s="47"/>
      <c r="D114" s="46"/>
      <c r="E114" s="46"/>
      <c r="F114" s="46"/>
      <c r="G114" s="46"/>
      <c r="H114" s="272"/>
      <c r="I114" s="46"/>
      <c r="J114" s="48"/>
      <c r="K114" s="46"/>
      <c r="L114" s="46"/>
    </row>
    <row r="115" spans="1:12" ht="21.9" customHeight="1">
      <c r="A115" s="45"/>
      <c r="B115" s="46"/>
      <c r="C115" s="47"/>
      <c r="D115" s="46"/>
      <c r="E115" s="46"/>
      <c r="F115" s="46"/>
      <c r="G115" s="46"/>
      <c r="H115" s="272"/>
      <c r="I115" s="46"/>
      <c r="J115" s="48"/>
      <c r="K115" s="46"/>
      <c r="L115" s="46"/>
    </row>
    <row r="116" spans="1:12" ht="21.9" customHeight="1">
      <c r="A116" s="45"/>
      <c r="B116" s="46"/>
      <c r="C116" s="47"/>
      <c r="D116" s="46"/>
      <c r="E116" s="46"/>
      <c r="F116" s="46"/>
      <c r="G116" s="46"/>
      <c r="H116" s="272"/>
      <c r="I116" s="46"/>
      <c r="J116" s="48"/>
      <c r="K116" s="46"/>
      <c r="L116" s="46"/>
    </row>
    <row r="117" spans="1:12" ht="21.9" customHeight="1">
      <c r="A117" s="45"/>
      <c r="B117" s="46"/>
      <c r="C117" s="47"/>
      <c r="D117" s="46"/>
      <c r="E117" s="46"/>
      <c r="F117" s="46"/>
      <c r="G117" s="46"/>
      <c r="H117" s="272"/>
      <c r="I117" s="46"/>
      <c r="J117" s="48"/>
      <c r="K117" s="46"/>
      <c r="L117" s="46"/>
    </row>
    <row r="118" spans="1:12" ht="21.9" customHeight="1">
      <c r="A118" s="45"/>
      <c r="B118" s="46"/>
      <c r="C118" s="47"/>
      <c r="D118" s="46"/>
      <c r="E118" s="46"/>
      <c r="F118" s="46"/>
      <c r="G118" s="46"/>
      <c r="H118" s="272"/>
      <c r="I118" s="46"/>
      <c r="J118" s="48"/>
      <c r="K118" s="46"/>
      <c r="L118" s="46"/>
    </row>
    <row r="119" spans="1:12" ht="21.9" customHeight="1">
      <c r="A119" s="45"/>
      <c r="B119" s="46"/>
      <c r="C119" s="47"/>
      <c r="D119" s="46"/>
      <c r="E119" s="46"/>
      <c r="F119" s="46"/>
      <c r="G119" s="46"/>
      <c r="H119" s="272"/>
      <c r="I119" s="46"/>
      <c r="J119" s="48"/>
      <c r="K119" s="46"/>
      <c r="L119" s="46"/>
    </row>
    <row r="120" spans="1:12" ht="21.9" customHeight="1">
      <c r="A120" s="45"/>
      <c r="B120" s="46"/>
      <c r="C120" s="47"/>
      <c r="D120" s="46"/>
      <c r="E120" s="46"/>
      <c r="F120" s="46"/>
      <c r="G120" s="46"/>
      <c r="H120" s="272"/>
      <c r="I120" s="46"/>
      <c r="J120" s="48"/>
      <c r="K120" s="46"/>
      <c r="L120" s="46"/>
    </row>
    <row r="121" spans="1:12" ht="21.9" customHeight="1">
      <c r="A121" s="45"/>
      <c r="B121" s="46"/>
      <c r="C121" s="47"/>
      <c r="D121" s="46"/>
      <c r="E121" s="46"/>
      <c r="F121" s="46"/>
      <c r="G121" s="46"/>
      <c r="H121" s="272"/>
      <c r="I121" s="46"/>
      <c r="J121" s="48"/>
      <c r="K121" s="46"/>
      <c r="L121" s="46"/>
    </row>
    <row r="122" spans="1:12" ht="21.9" customHeight="1">
      <c r="A122" s="45"/>
      <c r="B122" s="46"/>
      <c r="C122" s="47"/>
      <c r="D122" s="46"/>
      <c r="E122" s="46"/>
      <c r="F122" s="46"/>
      <c r="G122" s="46"/>
      <c r="H122" s="272"/>
      <c r="I122" s="46"/>
      <c r="J122" s="48"/>
      <c r="K122" s="46"/>
      <c r="L122" s="46"/>
    </row>
    <row r="123" spans="1:12" ht="21.9" customHeight="1">
      <c r="A123" s="45"/>
      <c r="B123" s="46"/>
      <c r="C123" s="47"/>
      <c r="D123" s="46"/>
      <c r="E123" s="46"/>
      <c r="F123" s="46"/>
      <c r="G123" s="46"/>
      <c r="H123" s="272"/>
      <c r="I123" s="46"/>
      <c r="J123" s="48"/>
      <c r="K123" s="46"/>
      <c r="L123" s="46"/>
    </row>
    <row r="124" spans="1:12" ht="21.9" customHeight="1">
      <c r="A124" s="45"/>
      <c r="B124" s="46"/>
      <c r="C124" s="47"/>
      <c r="D124" s="46"/>
      <c r="E124" s="46"/>
      <c r="F124" s="46"/>
      <c r="G124" s="46"/>
      <c r="H124" s="272"/>
      <c r="I124" s="46"/>
      <c r="J124" s="48"/>
      <c r="K124" s="46"/>
      <c r="L124" s="46"/>
    </row>
    <row r="125" spans="1:12" ht="21.9" customHeight="1">
      <c r="A125" s="45"/>
      <c r="B125" s="46"/>
      <c r="C125" s="47"/>
      <c r="D125" s="46"/>
      <c r="E125" s="46"/>
      <c r="F125" s="46"/>
      <c r="G125" s="46"/>
      <c r="H125" s="272"/>
      <c r="I125" s="46"/>
      <c r="J125" s="48"/>
      <c r="K125" s="46"/>
      <c r="L125" s="46"/>
    </row>
    <row r="126" spans="1:12" ht="21.9" customHeight="1">
      <c r="A126" s="45"/>
      <c r="B126" s="46"/>
      <c r="C126" s="47"/>
      <c r="D126" s="46"/>
      <c r="E126" s="46"/>
      <c r="F126" s="46"/>
      <c r="G126" s="46"/>
      <c r="H126" s="272"/>
      <c r="I126" s="46"/>
      <c r="J126" s="48"/>
      <c r="K126" s="46"/>
      <c r="L126" s="46"/>
    </row>
    <row r="127" spans="1:12" ht="21.9" customHeight="1">
      <c r="A127" s="45"/>
      <c r="B127" s="46"/>
      <c r="C127" s="47"/>
      <c r="D127" s="46"/>
      <c r="E127" s="46"/>
      <c r="F127" s="46"/>
      <c r="G127" s="46"/>
      <c r="H127" s="272"/>
      <c r="I127" s="46"/>
      <c r="J127" s="48"/>
      <c r="K127" s="46"/>
      <c r="L127" s="46"/>
    </row>
    <row r="128" spans="1:12" ht="21.9" customHeight="1">
      <c r="A128" s="45"/>
      <c r="B128" s="46"/>
      <c r="C128" s="47"/>
      <c r="D128" s="46"/>
      <c r="E128" s="46"/>
      <c r="F128" s="46"/>
      <c r="G128" s="46"/>
      <c r="H128" s="272"/>
      <c r="I128" s="46"/>
      <c r="J128" s="48"/>
      <c r="K128" s="46"/>
      <c r="L128" s="46"/>
    </row>
    <row r="129" spans="1:12" ht="21.9" customHeight="1">
      <c r="A129" s="45"/>
      <c r="B129" s="46"/>
      <c r="C129" s="47"/>
      <c r="D129" s="46"/>
      <c r="E129" s="46"/>
      <c r="F129" s="46"/>
      <c r="G129" s="46"/>
      <c r="H129" s="272"/>
      <c r="I129" s="46"/>
      <c r="J129" s="48"/>
      <c r="K129" s="46"/>
      <c r="L129" s="46"/>
    </row>
    <row r="130" spans="1:12" ht="21.9" customHeight="1">
      <c r="A130" s="45"/>
      <c r="B130" s="46"/>
      <c r="C130" s="47"/>
      <c r="D130" s="46"/>
      <c r="E130" s="46"/>
      <c r="F130" s="46"/>
      <c r="G130" s="46"/>
      <c r="H130" s="272"/>
      <c r="I130" s="46"/>
      <c r="J130" s="48"/>
      <c r="K130" s="46"/>
      <c r="L130" s="46"/>
    </row>
    <row r="131" spans="1:12" ht="21.9" customHeight="1">
      <c r="A131" s="45"/>
      <c r="B131" s="46"/>
      <c r="C131" s="47"/>
      <c r="D131" s="46"/>
      <c r="E131" s="46"/>
      <c r="F131" s="46"/>
      <c r="G131" s="46"/>
      <c r="H131" s="272"/>
      <c r="I131" s="46"/>
      <c r="J131" s="48"/>
      <c r="K131" s="46"/>
      <c r="L131" s="46"/>
    </row>
    <row r="132" spans="1:12" ht="21.9" customHeight="1">
      <c r="A132" s="45"/>
      <c r="B132" s="46"/>
      <c r="C132" s="47"/>
      <c r="D132" s="46"/>
      <c r="E132" s="46"/>
      <c r="F132" s="46"/>
      <c r="G132" s="46"/>
      <c r="H132" s="272"/>
      <c r="I132" s="46"/>
      <c r="J132" s="48"/>
      <c r="K132" s="46"/>
      <c r="L132" s="46"/>
    </row>
    <row r="133" spans="1:12" ht="21.9" customHeight="1">
      <c r="A133" s="45"/>
      <c r="B133" s="46"/>
      <c r="C133" s="47"/>
      <c r="D133" s="46"/>
      <c r="E133" s="46"/>
      <c r="F133" s="46"/>
      <c r="G133" s="46"/>
      <c r="H133" s="272"/>
      <c r="I133" s="46"/>
      <c r="J133" s="48"/>
      <c r="K133" s="46"/>
      <c r="L133" s="46"/>
    </row>
    <row r="134" spans="1:12" ht="21.9" customHeight="1">
      <c r="A134" s="45"/>
      <c r="B134" s="46"/>
      <c r="C134" s="47"/>
      <c r="D134" s="46"/>
      <c r="E134" s="46"/>
      <c r="F134" s="46"/>
      <c r="G134" s="46"/>
      <c r="H134" s="272"/>
      <c r="I134" s="46"/>
      <c r="J134" s="48"/>
      <c r="K134" s="46"/>
      <c r="L134" s="46"/>
    </row>
    <row r="135" spans="1:12" ht="21.9" customHeight="1">
      <c r="A135" s="45"/>
      <c r="B135" s="46"/>
      <c r="C135" s="47"/>
      <c r="D135" s="46"/>
      <c r="E135" s="46"/>
      <c r="F135" s="46"/>
      <c r="G135" s="46"/>
      <c r="H135" s="272"/>
      <c r="I135" s="46"/>
      <c r="J135" s="48"/>
      <c r="K135" s="46"/>
      <c r="L135" s="46"/>
    </row>
    <row r="136" spans="1:12" ht="21.9" customHeight="1">
      <c r="A136" s="45"/>
      <c r="B136" s="46"/>
      <c r="C136" s="47"/>
      <c r="D136" s="46"/>
      <c r="E136" s="46"/>
      <c r="F136" s="46"/>
      <c r="G136" s="46"/>
      <c r="H136" s="272"/>
      <c r="I136" s="46"/>
      <c r="J136" s="48"/>
      <c r="K136" s="46"/>
      <c r="L136" s="46"/>
    </row>
    <row r="137" spans="1:12" ht="36.6" customHeight="1">
      <c r="A137" s="45"/>
      <c r="B137" s="46"/>
      <c r="C137" s="47"/>
      <c r="D137" s="46"/>
      <c r="E137" s="46"/>
      <c r="F137" s="46"/>
      <c r="G137" s="46"/>
      <c r="H137" s="272"/>
      <c r="I137" s="46"/>
      <c r="J137" s="48"/>
      <c r="K137" s="46"/>
      <c r="L137" s="46"/>
    </row>
    <row r="138" spans="1:12" ht="21.9" customHeight="1">
      <c r="A138" s="45"/>
      <c r="B138" s="46"/>
      <c r="C138" s="47"/>
      <c r="D138" s="46"/>
      <c r="E138" s="46"/>
      <c r="F138" s="46"/>
      <c r="G138" s="46"/>
      <c r="H138" s="272"/>
      <c r="I138" s="46"/>
      <c r="J138" s="48"/>
      <c r="K138" s="46"/>
      <c r="L138" s="46"/>
    </row>
    <row r="139" spans="1:12" ht="21.9" customHeight="1">
      <c r="A139" s="45"/>
      <c r="B139" s="46"/>
      <c r="C139" s="47"/>
      <c r="D139" s="46"/>
      <c r="E139" s="46"/>
      <c r="F139" s="46"/>
      <c r="G139" s="46"/>
      <c r="H139" s="272"/>
      <c r="I139" s="46"/>
      <c r="J139" s="48"/>
      <c r="K139" s="46"/>
      <c r="L139" s="46"/>
    </row>
    <row r="140" spans="1:12" ht="21.9" customHeight="1">
      <c r="A140" s="45"/>
      <c r="B140" s="46"/>
      <c r="C140" s="47"/>
      <c r="D140" s="46"/>
      <c r="E140" s="46"/>
      <c r="F140" s="46"/>
      <c r="G140" s="46"/>
      <c r="H140" s="272"/>
      <c r="I140" s="46"/>
      <c r="J140" s="48"/>
      <c r="K140" s="46"/>
      <c r="L140" s="46"/>
    </row>
    <row r="141" spans="1:12" ht="21.9" customHeight="1">
      <c r="A141" s="45"/>
      <c r="B141" s="46"/>
      <c r="C141" s="47"/>
      <c r="D141" s="46"/>
      <c r="E141" s="46"/>
      <c r="F141" s="46"/>
      <c r="G141" s="46"/>
      <c r="H141" s="272"/>
      <c r="I141" s="46"/>
      <c r="J141" s="48"/>
      <c r="K141" s="46"/>
      <c r="L141" s="46"/>
    </row>
    <row r="142" spans="1:12" ht="21.9" customHeight="1">
      <c r="A142" s="45"/>
      <c r="B142" s="46"/>
      <c r="C142" s="47"/>
      <c r="D142" s="46"/>
      <c r="E142" s="46"/>
      <c r="F142" s="46"/>
      <c r="G142" s="46"/>
      <c r="H142" s="272"/>
      <c r="I142" s="46"/>
      <c r="J142" s="48"/>
      <c r="K142" s="46"/>
      <c r="L142" s="46"/>
    </row>
    <row r="143" spans="1:12" ht="21.9" customHeight="1">
      <c r="A143" s="45"/>
      <c r="B143" s="46"/>
      <c r="C143" s="47"/>
      <c r="D143" s="46"/>
      <c r="E143" s="46"/>
      <c r="F143" s="46"/>
      <c r="G143" s="46"/>
      <c r="H143" s="272"/>
      <c r="I143" s="46"/>
      <c r="J143" s="48"/>
      <c r="K143" s="46"/>
      <c r="L143" s="46"/>
    </row>
    <row r="144" spans="1:12" ht="42.6" customHeight="1">
      <c r="A144" s="45"/>
      <c r="B144" s="46"/>
      <c r="C144" s="47"/>
      <c r="D144" s="46"/>
      <c r="E144" s="46"/>
      <c r="F144" s="46"/>
      <c r="G144" s="46"/>
      <c r="H144" s="272"/>
      <c r="I144" s="46"/>
      <c r="J144" s="48"/>
      <c r="K144" s="46"/>
      <c r="L144" s="46"/>
    </row>
    <row r="145" spans="1:12" ht="21.9" customHeight="1">
      <c r="A145" s="45"/>
      <c r="B145" s="46"/>
      <c r="C145" s="47"/>
      <c r="D145" s="46"/>
      <c r="E145" s="46"/>
      <c r="F145" s="46"/>
      <c r="G145" s="46"/>
      <c r="H145" s="272"/>
      <c r="I145" s="46"/>
      <c r="J145" s="48"/>
      <c r="K145" s="46"/>
      <c r="L145" s="46"/>
    </row>
    <row r="146" spans="1:12" ht="21.9" customHeight="1">
      <c r="A146" s="45"/>
      <c r="B146" s="46"/>
      <c r="C146" s="47"/>
      <c r="D146" s="46"/>
      <c r="E146" s="46"/>
      <c r="F146" s="46"/>
      <c r="G146" s="46"/>
      <c r="H146" s="272"/>
      <c r="I146" s="46"/>
      <c r="J146" s="48"/>
      <c r="K146" s="46"/>
      <c r="L146" s="46"/>
    </row>
    <row r="147" spans="1:12" ht="21.9" customHeight="1">
      <c r="A147" s="45"/>
      <c r="B147" s="46"/>
      <c r="C147" s="47"/>
      <c r="D147" s="46"/>
      <c r="E147" s="46"/>
      <c r="F147" s="46"/>
      <c r="G147" s="46"/>
      <c r="H147" s="272"/>
      <c r="I147" s="46"/>
      <c r="J147" s="48"/>
      <c r="K147" s="46"/>
      <c r="L147" s="46"/>
    </row>
    <row r="148" spans="1:12" ht="21.9" customHeight="1">
      <c r="A148" s="45"/>
      <c r="B148" s="46"/>
      <c r="C148" s="47"/>
      <c r="D148" s="46"/>
      <c r="E148" s="46"/>
      <c r="F148" s="46"/>
      <c r="G148" s="46"/>
      <c r="H148" s="272"/>
      <c r="I148" s="46"/>
      <c r="J148" s="48"/>
      <c r="K148" s="46"/>
      <c r="L148" s="46"/>
    </row>
    <row r="149" spans="1:12" ht="21.9" customHeight="1">
      <c r="A149" s="45"/>
      <c r="B149" s="46"/>
      <c r="C149" s="47"/>
      <c r="D149" s="46"/>
      <c r="E149" s="46"/>
      <c r="F149" s="46"/>
      <c r="G149" s="46"/>
      <c r="H149" s="272"/>
      <c r="I149" s="46"/>
      <c r="J149" s="48"/>
      <c r="K149" s="46"/>
      <c r="L149" s="46"/>
    </row>
    <row r="150" spans="1:12" ht="21.9" customHeight="1">
      <c r="A150" s="45"/>
      <c r="B150" s="46"/>
      <c r="C150" s="47"/>
      <c r="D150" s="46"/>
      <c r="E150" s="46"/>
      <c r="F150" s="46"/>
      <c r="G150" s="46"/>
      <c r="H150" s="272"/>
      <c r="I150" s="46"/>
      <c r="J150" s="48"/>
      <c r="K150" s="46"/>
      <c r="L150" s="46"/>
    </row>
    <row r="151" spans="1:12" ht="39.6" customHeight="1">
      <c r="A151" s="45"/>
      <c r="B151" s="46"/>
      <c r="C151" s="47"/>
      <c r="D151" s="46"/>
      <c r="E151" s="46"/>
      <c r="F151" s="46"/>
      <c r="G151" s="46"/>
      <c r="H151" s="272"/>
      <c r="I151" s="46"/>
      <c r="J151" s="48"/>
      <c r="K151" s="46"/>
      <c r="L151" s="46"/>
    </row>
    <row r="152" spans="1:12" ht="21.9" customHeight="1">
      <c r="A152" s="45"/>
      <c r="B152" s="46"/>
      <c r="C152" s="47"/>
      <c r="D152" s="46"/>
      <c r="E152" s="46"/>
      <c r="F152" s="46"/>
      <c r="G152" s="46"/>
      <c r="H152" s="272"/>
      <c r="I152" s="46"/>
      <c r="J152" s="48"/>
      <c r="K152" s="46"/>
      <c r="L152" s="46"/>
    </row>
    <row r="153" spans="1:12" ht="21.9" customHeight="1">
      <c r="A153" s="45"/>
      <c r="B153" s="46"/>
      <c r="C153" s="47"/>
      <c r="D153" s="46"/>
      <c r="E153" s="46"/>
      <c r="F153" s="46"/>
      <c r="G153" s="46"/>
      <c r="H153" s="272"/>
      <c r="I153" s="46"/>
      <c r="J153" s="48"/>
      <c r="K153" s="46"/>
      <c r="L153" s="46"/>
    </row>
    <row r="154" spans="1:12" ht="21.9" customHeight="1">
      <c r="A154" s="45"/>
      <c r="B154" s="46"/>
      <c r="C154" s="47"/>
      <c r="D154" s="46"/>
      <c r="E154" s="46"/>
      <c r="F154" s="46"/>
      <c r="G154" s="46"/>
      <c r="H154" s="272"/>
      <c r="I154" s="46"/>
      <c r="J154" s="48"/>
      <c r="K154" s="46"/>
      <c r="L154" s="46"/>
    </row>
    <row r="155" spans="1:12" ht="21.9" customHeight="1">
      <c r="A155" s="45"/>
      <c r="B155" s="46"/>
      <c r="C155" s="47"/>
      <c r="D155" s="46"/>
      <c r="E155" s="46"/>
      <c r="F155" s="46"/>
      <c r="G155" s="46"/>
      <c r="H155" s="272"/>
      <c r="I155" s="46"/>
      <c r="J155" s="48"/>
      <c r="K155" s="46"/>
      <c r="L155" s="46"/>
    </row>
    <row r="156" spans="1:12" ht="21.9" customHeight="1">
      <c r="A156" s="45"/>
      <c r="B156" s="46"/>
      <c r="C156" s="47"/>
      <c r="D156" s="46"/>
      <c r="E156" s="46"/>
      <c r="F156" s="46"/>
      <c r="G156" s="46"/>
      <c r="H156" s="272"/>
      <c r="I156" s="46"/>
      <c r="J156" s="48"/>
      <c r="K156" s="46"/>
      <c r="L156" s="46"/>
    </row>
    <row r="157" spans="1:12" ht="21.9" customHeight="1">
      <c r="A157" s="45"/>
      <c r="B157" s="46"/>
      <c r="C157" s="47"/>
      <c r="D157" s="46"/>
      <c r="E157" s="46"/>
      <c r="F157" s="46"/>
      <c r="G157" s="46"/>
      <c r="H157" s="272"/>
      <c r="I157" s="46"/>
      <c r="J157" s="48"/>
      <c r="K157" s="46"/>
      <c r="L157" s="46"/>
    </row>
    <row r="158" spans="1:12" ht="21.9" customHeight="1">
      <c r="A158" s="45"/>
      <c r="B158" s="46"/>
      <c r="C158" s="47"/>
      <c r="D158" s="46"/>
      <c r="E158" s="46"/>
      <c r="F158" s="46"/>
      <c r="G158" s="46"/>
      <c r="H158" s="272"/>
      <c r="I158" s="46"/>
      <c r="J158" s="48"/>
      <c r="K158" s="46"/>
      <c r="L158" s="46"/>
    </row>
    <row r="159" spans="1:12" ht="21.9" customHeight="1">
      <c r="A159" s="45"/>
      <c r="B159" s="46"/>
      <c r="C159" s="47"/>
      <c r="D159" s="46"/>
      <c r="E159" s="46"/>
      <c r="F159" s="46"/>
      <c r="G159" s="46"/>
      <c r="H159" s="272"/>
      <c r="I159" s="46"/>
      <c r="J159" s="48"/>
      <c r="K159" s="46"/>
      <c r="L159" s="46"/>
    </row>
    <row r="160" spans="1:12" ht="21.9" customHeight="1">
      <c r="A160" s="45"/>
      <c r="B160" s="46"/>
      <c r="C160" s="47"/>
      <c r="D160" s="46"/>
      <c r="E160" s="46"/>
      <c r="F160" s="46"/>
      <c r="G160" s="46"/>
      <c r="H160" s="272"/>
      <c r="I160" s="46"/>
      <c r="J160" s="48"/>
      <c r="K160" s="46"/>
      <c r="L160" s="46"/>
    </row>
    <row r="161" spans="1:12" ht="21.9" customHeight="1">
      <c r="A161" s="45"/>
      <c r="B161" s="46"/>
      <c r="C161" s="47"/>
      <c r="D161" s="46"/>
      <c r="E161" s="46"/>
      <c r="F161" s="46"/>
      <c r="G161" s="46"/>
      <c r="H161" s="272"/>
      <c r="I161" s="46"/>
      <c r="J161" s="48"/>
      <c r="K161" s="46"/>
      <c r="L161" s="46"/>
    </row>
    <row r="162" spans="1:12" ht="21.9" customHeight="1">
      <c r="A162" s="45"/>
      <c r="B162" s="46"/>
      <c r="C162" s="47"/>
      <c r="D162" s="46"/>
      <c r="E162" s="46"/>
      <c r="F162" s="46"/>
      <c r="G162" s="46"/>
      <c r="H162" s="272"/>
      <c r="I162" s="46"/>
      <c r="J162" s="48"/>
      <c r="K162" s="46"/>
      <c r="L162" s="46"/>
    </row>
    <row r="163" spans="1:12" ht="21.9" customHeight="1">
      <c r="A163" s="45"/>
      <c r="B163" s="46"/>
      <c r="C163" s="47"/>
      <c r="D163" s="46"/>
      <c r="E163" s="46"/>
      <c r="F163" s="46"/>
      <c r="G163" s="46"/>
      <c r="H163" s="272"/>
      <c r="I163" s="46"/>
      <c r="J163" s="48"/>
      <c r="K163" s="46"/>
      <c r="L163" s="46"/>
    </row>
    <row r="164" spans="1:12" ht="21.9" customHeight="1">
      <c r="A164" s="45"/>
      <c r="B164" s="46"/>
      <c r="C164" s="47"/>
      <c r="D164" s="46"/>
      <c r="E164" s="46"/>
      <c r="F164" s="46"/>
      <c r="G164" s="46"/>
      <c r="H164" s="272"/>
      <c r="I164" s="46"/>
      <c r="J164" s="48"/>
      <c r="K164" s="46"/>
      <c r="L164" s="46"/>
    </row>
    <row r="165" spans="1:12" ht="21.9" customHeight="1">
      <c r="A165" s="45"/>
      <c r="B165" s="46"/>
      <c r="C165" s="47"/>
      <c r="D165" s="46"/>
      <c r="E165" s="46"/>
      <c r="F165" s="46"/>
      <c r="G165" s="46"/>
      <c r="H165" s="272"/>
      <c r="I165" s="46"/>
      <c r="J165" s="48"/>
      <c r="K165" s="46"/>
      <c r="L165" s="46"/>
    </row>
    <row r="166" spans="1:12" ht="21.9" customHeight="1">
      <c r="A166" s="45"/>
      <c r="B166" s="46"/>
      <c r="C166" s="47"/>
      <c r="D166" s="46"/>
      <c r="E166" s="46"/>
      <c r="F166" s="46"/>
      <c r="G166" s="46"/>
      <c r="H166" s="272"/>
      <c r="I166" s="46"/>
      <c r="J166" s="48"/>
      <c r="K166" s="46"/>
      <c r="L166" s="46"/>
    </row>
    <row r="167" spans="1:12" ht="21.9" customHeight="1">
      <c r="A167" s="45"/>
      <c r="B167" s="46"/>
      <c r="C167" s="47"/>
      <c r="D167" s="46"/>
      <c r="E167" s="46"/>
      <c r="F167" s="46"/>
      <c r="G167" s="46"/>
      <c r="H167" s="272"/>
      <c r="I167" s="46"/>
      <c r="J167" s="48"/>
      <c r="K167" s="46"/>
      <c r="L167" s="46"/>
    </row>
    <row r="168" spans="1:12" ht="21.9" customHeight="1">
      <c r="A168" s="45"/>
      <c r="B168" s="46"/>
      <c r="C168" s="47"/>
      <c r="D168" s="46"/>
      <c r="E168" s="46"/>
      <c r="F168" s="46"/>
      <c r="G168" s="46"/>
      <c r="H168" s="272"/>
      <c r="I168" s="46"/>
      <c r="J168" s="48"/>
      <c r="K168" s="46"/>
      <c r="L168" s="46"/>
    </row>
    <row r="169" spans="1:12" ht="21.9" customHeight="1">
      <c r="B169" s="43"/>
    </row>
    <row r="170" spans="1:12" ht="21.9" customHeight="1">
      <c r="B170" s="43"/>
    </row>
    <row r="171" spans="1:12" ht="21.9" customHeight="1">
      <c r="B171" s="43"/>
    </row>
    <row r="172" spans="1:12" ht="21.9" customHeight="1">
      <c r="B172" s="43"/>
    </row>
    <row r="173" spans="1:12" ht="21.9" customHeight="1">
      <c r="B173" s="43"/>
    </row>
    <row r="174" spans="1:12" ht="21.9" customHeight="1">
      <c r="B174" s="43"/>
    </row>
    <row r="175" spans="1:12" ht="21.9" customHeight="1">
      <c r="B175" s="43"/>
    </row>
    <row r="176" spans="1:12" ht="21.9" customHeight="1">
      <c r="B176" s="43"/>
    </row>
    <row r="177" spans="2:2" ht="21.9" customHeight="1">
      <c r="B177" s="43"/>
    </row>
    <row r="178" spans="2:2" ht="21.9" customHeight="1">
      <c r="B178" s="43"/>
    </row>
    <row r="179" spans="2:2" ht="21.9" customHeight="1">
      <c r="B179" s="43"/>
    </row>
    <row r="180" spans="2:2" ht="21.9" customHeight="1">
      <c r="B180" s="43"/>
    </row>
    <row r="181" spans="2:2" ht="21.9" customHeight="1">
      <c r="B181" s="43"/>
    </row>
    <row r="182" spans="2:2" ht="21.9" customHeight="1">
      <c r="B182" s="43"/>
    </row>
    <row r="183" spans="2:2" ht="21.9" customHeight="1">
      <c r="B183" s="43"/>
    </row>
    <row r="184" spans="2:2" ht="21.9" customHeight="1">
      <c r="B184" s="43"/>
    </row>
    <row r="185" spans="2:2" ht="21.9" customHeight="1">
      <c r="B185" s="43"/>
    </row>
    <row r="186" spans="2:2" ht="21.9" customHeight="1">
      <c r="B186" s="43"/>
    </row>
    <row r="187" spans="2:2" ht="21.9" customHeight="1">
      <c r="B187" s="43"/>
    </row>
    <row r="188" spans="2:2" ht="21.9" customHeight="1">
      <c r="B188" s="43"/>
    </row>
    <row r="189" spans="2:2" ht="21.9" customHeight="1">
      <c r="B189" s="43"/>
    </row>
    <row r="190" spans="2:2" ht="21.9" customHeight="1">
      <c r="B190" s="43"/>
    </row>
    <row r="191" spans="2:2" ht="21.9" customHeight="1">
      <c r="B191" s="43"/>
    </row>
    <row r="192" spans="2:2" ht="21.9" customHeight="1">
      <c r="B192" s="43"/>
    </row>
    <row r="193" spans="2:2" ht="21.9" customHeight="1">
      <c r="B193" s="43"/>
    </row>
    <row r="194" spans="2:2" ht="21.9" customHeight="1">
      <c r="B194" s="43"/>
    </row>
    <row r="195" spans="2:2" ht="21.9" customHeight="1">
      <c r="B195" s="43"/>
    </row>
    <row r="196" spans="2:2" ht="21.9" customHeight="1">
      <c r="B196" s="43"/>
    </row>
    <row r="197" spans="2:2" ht="21.9" customHeight="1">
      <c r="B197" s="43"/>
    </row>
    <row r="198" spans="2:2" ht="21.9" customHeight="1">
      <c r="B198" s="43"/>
    </row>
    <row r="199" spans="2:2" ht="21.9" customHeight="1">
      <c r="B199" s="43"/>
    </row>
    <row r="200" spans="2:2" ht="21.9" customHeight="1">
      <c r="B200" s="43"/>
    </row>
    <row r="201" spans="2:2" ht="21.9" customHeight="1">
      <c r="B201" s="43"/>
    </row>
    <row r="202" spans="2:2" ht="21.9" customHeight="1">
      <c r="B202" s="43"/>
    </row>
    <row r="203" spans="2:2" ht="21.9" customHeight="1">
      <c r="B203" s="43"/>
    </row>
    <row r="204" spans="2:2" ht="21.9" customHeight="1">
      <c r="B204" s="43"/>
    </row>
    <row r="205" spans="2:2" ht="21.9" customHeight="1">
      <c r="B205" s="43"/>
    </row>
    <row r="206" spans="2:2" ht="21.9" customHeight="1">
      <c r="B206" s="43"/>
    </row>
    <row r="207" spans="2:2" ht="21.9" customHeight="1">
      <c r="B207" s="43"/>
    </row>
    <row r="208" spans="2:2" ht="21.9" customHeight="1">
      <c r="B208" s="43"/>
    </row>
    <row r="209" spans="1:12" ht="21.9" customHeight="1">
      <c r="B209" s="43"/>
    </row>
    <row r="210" spans="1:12" ht="21.9" customHeight="1">
      <c r="B210" s="43"/>
    </row>
    <row r="211" spans="1:12" ht="21.9" customHeight="1">
      <c r="B211" s="43"/>
    </row>
    <row r="212" spans="1:12" ht="21.9" customHeight="1">
      <c r="B212" s="43"/>
    </row>
    <row r="213" spans="1:12" ht="21.9" customHeight="1">
      <c r="B213" s="43"/>
    </row>
    <row r="214" spans="1:12" ht="21.9" customHeight="1">
      <c r="B214" s="43"/>
    </row>
    <row r="215" spans="1:12" ht="21.9" customHeight="1">
      <c r="B215" s="43"/>
    </row>
    <row r="216" spans="1:12" ht="21.9" customHeight="1">
      <c r="A216" s="50"/>
      <c r="B216" s="18"/>
      <c r="D216" s="18"/>
      <c r="E216" s="18"/>
      <c r="F216" s="18"/>
      <c r="G216" s="18"/>
      <c r="H216" s="274"/>
      <c r="I216" s="18"/>
      <c r="J216" s="54"/>
      <c r="K216" s="18"/>
      <c r="L216" s="18"/>
    </row>
    <row r="217" spans="1:12" ht="21.9" customHeight="1">
      <c r="A217" s="50"/>
      <c r="B217" s="18"/>
      <c r="D217" s="18"/>
      <c r="E217" s="18"/>
      <c r="F217" s="18"/>
      <c r="G217" s="18"/>
      <c r="H217" s="274"/>
      <c r="I217" s="18"/>
      <c r="J217" s="54"/>
      <c r="K217" s="18"/>
      <c r="L217" s="18"/>
    </row>
    <row r="218" spans="1:12" ht="21.9" customHeight="1">
      <c r="A218" s="50"/>
      <c r="B218" s="18"/>
      <c r="D218" s="18"/>
      <c r="E218" s="18"/>
      <c r="F218" s="18"/>
      <c r="G218" s="18"/>
      <c r="H218" s="274"/>
      <c r="I218" s="18"/>
      <c r="J218" s="54"/>
      <c r="K218" s="18"/>
      <c r="L218" s="18"/>
    </row>
    <row r="219" spans="1:12" ht="21.9" customHeight="1">
      <c r="A219" s="50"/>
      <c r="B219" s="18"/>
      <c r="D219" s="18"/>
      <c r="E219" s="18"/>
      <c r="F219" s="18"/>
      <c r="G219" s="18"/>
      <c r="H219" s="274"/>
      <c r="I219" s="18"/>
      <c r="J219" s="54"/>
      <c r="K219" s="18"/>
      <c r="L219" s="18"/>
    </row>
    <row r="220" spans="1:12" ht="21.9" customHeight="1">
      <c r="A220" s="50"/>
      <c r="B220" s="18"/>
      <c r="D220" s="18"/>
      <c r="E220" s="18"/>
      <c r="F220" s="18"/>
      <c r="G220" s="18"/>
      <c r="H220" s="274"/>
      <c r="I220" s="18"/>
      <c r="J220" s="54"/>
      <c r="K220" s="18"/>
      <c r="L220" s="18"/>
    </row>
    <row r="221" spans="1:12" ht="21.9" customHeight="1">
      <c r="A221" s="50"/>
      <c r="B221" s="18"/>
      <c r="D221" s="18"/>
      <c r="E221" s="18"/>
      <c r="F221" s="18"/>
      <c r="G221" s="18"/>
      <c r="H221" s="274"/>
      <c r="I221" s="18"/>
      <c r="J221" s="54"/>
      <c r="K221" s="18"/>
      <c r="L221" s="18"/>
    </row>
    <row r="222" spans="1:12" ht="21.9" customHeight="1">
      <c r="A222" s="50"/>
      <c r="B222" s="18"/>
      <c r="D222" s="18"/>
      <c r="E222" s="18"/>
      <c r="F222" s="18"/>
      <c r="G222" s="18"/>
      <c r="H222" s="274"/>
      <c r="I222" s="18"/>
      <c r="J222" s="54"/>
      <c r="K222" s="18"/>
      <c r="L222" s="18"/>
    </row>
    <row r="223" spans="1:12" ht="21.9" customHeight="1">
      <c r="A223" s="50"/>
      <c r="B223" s="18"/>
      <c r="D223" s="18"/>
      <c r="E223" s="18"/>
      <c r="F223" s="18"/>
      <c r="G223" s="18"/>
      <c r="H223" s="274"/>
      <c r="I223" s="18"/>
      <c r="J223" s="54"/>
      <c r="K223" s="18"/>
      <c r="L223" s="18"/>
    </row>
    <row r="224" spans="1:12" ht="21.9" customHeight="1">
      <c r="A224" s="50"/>
      <c r="B224" s="18"/>
      <c r="D224" s="18"/>
      <c r="E224" s="18"/>
      <c r="F224" s="18"/>
      <c r="G224" s="18"/>
      <c r="H224" s="274"/>
      <c r="I224" s="18"/>
      <c r="J224" s="54"/>
      <c r="K224" s="18"/>
      <c r="L224" s="18"/>
    </row>
    <row r="225" spans="1:12" ht="21.9" customHeight="1">
      <c r="A225" s="50"/>
      <c r="B225" s="18"/>
      <c r="D225" s="18"/>
      <c r="E225" s="18"/>
      <c r="F225" s="18"/>
      <c r="G225" s="18"/>
      <c r="H225" s="274"/>
      <c r="I225" s="18"/>
      <c r="J225" s="54"/>
      <c r="K225" s="18"/>
      <c r="L225" s="18"/>
    </row>
    <row r="226" spans="1:12" ht="21.9" customHeight="1">
      <c r="A226" s="50"/>
      <c r="B226" s="18"/>
      <c r="D226" s="18"/>
      <c r="E226" s="18"/>
      <c r="F226" s="18"/>
      <c r="G226" s="18"/>
      <c r="H226" s="274"/>
      <c r="I226" s="18"/>
      <c r="J226" s="54"/>
      <c r="K226" s="18"/>
      <c r="L226" s="18"/>
    </row>
    <row r="227" spans="1:12" ht="21.9" customHeight="1">
      <c r="A227" s="50"/>
      <c r="B227" s="18"/>
      <c r="D227" s="18"/>
      <c r="E227" s="18"/>
      <c r="F227" s="18"/>
      <c r="G227" s="18"/>
      <c r="H227" s="274"/>
      <c r="I227" s="18"/>
      <c r="J227" s="54"/>
      <c r="K227" s="18"/>
      <c r="L227" s="18"/>
    </row>
    <row r="228" spans="1:12" ht="21.9" customHeight="1">
      <c r="A228" s="50"/>
      <c r="B228" s="18"/>
      <c r="D228" s="18"/>
      <c r="E228" s="18"/>
      <c r="F228" s="18"/>
      <c r="G228" s="18"/>
      <c r="H228" s="274"/>
      <c r="I228" s="18"/>
      <c r="J228" s="54"/>
      <c r="K228" s="18"/>
      <c r="L228" s="18"/>
    </row>
    <row r="229" spans="1:12" ht="21.9" customHeight="1">
      <c r="A229" s="50"/>
      <c r="B229" s="18"/>
      <c r="D229" s="18"/>
      <c r="E229" s="18"/>
      <c r="F229" s="18"/>
      <c r="G229" s="18"/>
      <c r="H229" s="274"/>
      <c r="I229" s="18"/>
      <c r="J229" s="54"/>
      <c r="K229" s="18"/>
      <c r="L229" s="18"/>
    </row>
    <row r="230" spans="1:12" ht="21.9" customHeight="1">
      <c r="A230" s="50"/>
      <c r="B230" s="18"/>
      <c r="D230" s="18"/>
      <c r="E230" s="18"/>
      <c r="F230" s="18"/>
      <c r="G230" s="18"/>
      <c r="H230" s="274"/>
      <c r="I230" s="18"/>
      <c r="J230" s="54"/>
      <c r="K230" s="18"/>
      <c r="L230" s="18"/>
    </row>
    <row r="231" spans="1:12" ht="21.9" customHeight="1">
      <c r="A231" s="50"/>
      <c r="B231" s="18"/>
      <c r="D231" s="18"/>
      <c r="E231" s="18"/>
      <c r="F231" s="18"/>
      <c r="G231" s="18"/>
      <c r="H231" s="274"/>
      <c r="I231" s="18"/>
      <c r="J231" s="54"/>
      <c r="K231" s="18"/>
      <c r="L231" s="18"/>
    </row>
    <row r="232" spans="1:12" ht="21.9" customHeight="1">
      <c r="A232" s="50"/>
      <c r="B232" s="18"/>
      <c r="D232" s="18"/>
      <c r="E232" s="18"/>
      <c r="F232" s="18"/>
      <c r="G232" s="18"/>
      <c r="H232" s="274"/>
      <c r="I232" s="18"/>
      <c r="J232" s="54"/>
      <c r="K232" s="18"/>
      <c r="L232" s="18"/>
    </row>
    <row r="233" spans="1:12" ht="21.9" customHeight="1">
      <c r="A233" s="50"/>
      <c r="B233" s="18"/>
      <c r="D233" s="18"/>
      <c r="E233" s="18"/>
      <c r="F233" s="18"/>
      <c r="G233" s="18"/>
      <c r="H233" s="274"/>
      <c r="I233" s="18"/>
      <c r="J233" s="54"/>
      <c r="K233" s="18"/>
      <c r="L233" s="18"/>
    </row>
    <row r="234" spans="1:12" ht="21.9" customHeight="1">
      <c r="A234" s="50"/>
      <c r="B234" s="18"/>
      <c r="D234" s="18"/>
      <c r="E234" s="18"/>
      <c r="F234" s="18"/>
      <c r="G234" s="18"/>
      <c r="H234" s="274"/>
      <c r="I234" s="18"/>
      <c r="J234" s="54"/>
      <c r="K234" s="18"/>
      <c r="L234" s="18"/>
    </row>
    <row r="235" spans="1:12" ht="21.9" customHeight="1">
      <c r="A235" s="50"/>
      <c r="B235" s="18"/>
      <c r="D235" s="18"/>
      <c r="E235" s="18"/>
      <c r="F235" s="18"/>
      <c r="G235" s="18"/>
      <c r="H235" s="274"/>
      <c r="I235" s="18"/>
      <c r="J235" s="54"/>
      <c r="K235" s="18"/>
      <c r="L235" s="18"/>
    </row>
    <row r="236" spans="1:12" ht="21.9" customHeight="1">
      <c r="A236" s="50"/>
      <c r="B236" s="18"/>
      <c r="D236" s="18"/>
      <c r="E236" s="18"/>
      <c r="F236" s="18"/>
      <c r="G236" s="18"/>
      <c r="H236" s="274"/>
      <c r="I236" s="18"/>
      <c r="J236" s="54"/>
      <c r="K236" s="18"/>
      <c r="L236" s="18"/>
    </row>
    <row r="237" spans="1:12" ht="21.9" customHeight="1">
      <c r="A237" s="50"/>
      <c r="B237" s="18"/>
      <c r="D237" s="18"/>
      <c r="E237" s="18"/>
      <c r="F237" s="18"/>
      <c r="G237" s="18"/>
      <c r="H237" s="274"/>
      <c r="I237" s="18"/>
      <c r="J237" s="54"/>
      <c r="K237" s="18"/>
      <c r="L237" s="18"/>
    </row>
    <row r="238" spans="1:12" ht="21.9" customHeight="1">
      <c r="A238" s="50"/>
      <c r="B238" s="18"/>
      <c r="D238" s="18"/>
      <c r="E238" s="18"/>
      <c r="F238" s="18"/>
      <c r="G238" s="18"/>
      <c r="H238" s="274"/>
      <c r="I238" s="18"/>
      <c r="J238" s="54"/>
      <c r="K238" s="18"/>
      <c r="L238" s="18"/>
    </row>
    <row r="239" spans="1:12" ht="21.9" customHeight="1">
      <c r="A239" s="50"/>
      <c r="B239" s="18"/>
      <c r="D239" s="18"/>
      <c r="E239" s="18"/>
      <c r="F239" s="18"/>
      <c r="G239" s="18"/>
      <c r="H239" s="274"/>
      <c r="I239" s="18"/>
      <c r="J239" s="54"/>
      <c r="K239" s="18"/>
      <c r="L239" s="18"/>
    </row>
    <row r="240" spans="1:12" ht="21.9" customHeight="1">
      <c r="A240" s="50"/>
      <c r="B240" s="18"/>
      <c r="D240" s="18"/>
      <c r="E240" s="18"/>
      <c r="F240" s="18"/>
      <c r="G240" s="18"/>
      <c r="H240" s="274"/>
      <c r="I240" s="18"/>
      <c r="J240" s="54"/>
      <c r="K240" s="18"/>
      <c r="L240" s="18"/>
    </row>
    <row r="241" spans="1:14" ht="21.9" customHeight="1">
      <c r="A241" s="50"/>
      <c r="B241" s="18"/>
      <c r="D241" s="18"/>
      <c r="E241" s="18"/>
      <c r="F241" s="18"/>
      <c r="G241" s="18"/>
      <c r="H241" s="274"/>
      <c r="I241" s="18"/>
      <c r="J241" s="54"/>
      <c r="K241" s="18"/>
      <c r="L241" s="18"/>
    </row>
    <row r="242" spans="1:14" ht="21.9" customHeight="1">
      <c r="A242" s="50"/>
      <c r="B242" s="18"/>
      <c r="D242" s="18"/>
      <c r="E242" s="18"/>
      <c r="F242" s="18"/>
      <c r="G242" s="18"/>
      <c r="H242" s="274"/>
      <c r="I242" s="18"/>
      <c r="J242" s="54"/>
      <c r="K242" s="18"/>
      <c r="L242" s="18"/>
    </row>
    <row r="243" spans="1:14" ht="21.9" customHeight="1">
      <c r="A243" s="50"/>
      <c r="B243" s="18"/>
      <c r="D243" s="18"/>
      <c r="E243" s="18"/>
      <c r="F243" s="18"/>
      <c r="G243" s="18"/>
      <c r="H243" s="274"/>
      <c r="I243" s="18"/>
      <c r="J243" s="54"/>
      <c r="K243" s="18"/>
      <c r="L243" s="18"/>
    </row>
    <row r="244" spans="1:14" ht="21.9" customHeight="1">
      <c r="A244" s="50"/>
      <c r="B244" s="18"/>
      <c r="D244" s="18"/>
      <c r="E244" s="18"/>
      <c r="F244" s="18"/>
      <c r="G244" s="18"/>
      <c r="H244" s="274"/>
      <c r="I244" s="18"/>
      <c r="J244" s="54"/>
      <c r="K244" s="18"/>
      <c r="L244" s="18"/>
    </row>
    <row r="245" spans="1:14" ht="21.9" customHeight="1">
      <c r="A245" s="50"/>
      <c r="B245" s="18"/>
      <c r="D245" s="18"/>
      <c r="E245" s="18"/>
      <c r="F245" s="18"/>
      <c r="G245" s="18"/>
      <c r="H245" s="274"/>
      <c r="I245" s="18"/>
      <c r="J245" s="54"/>
      <c r="K245" s="18"/>
      <c r="L245" s="18"/>
    </row>
    <row r="246" spans="1:14" ht="21.9" customHeight="1">
      <c r="A246" s="50"/>
      <c r="B246" s="18"/>
      <c r="D246" s="18"/>
      <c r="E246" s="18"/>
      <c r="F246" s="18"/>
      <c r="G246" s="18"/>
      <c r="H246" s="274"/>
      <c r="I246" s="18"/>
      <c r="J246" s="54"/>
      <c r="K246" s="18"/>
      <c r="L246" s="18"/>
    </row>
    <row r="247" spans="1:14" ht="21.9" customHeight="1">
      <c r="A247" s="50"/>
      <c r="B247" s="18"/>
      <c r="D247" s="18"/>
      <c r="E247" s="18"/>
      <c r="F247" s="18"/>
      <c r="G247" s="18"/>
      <c r="H247" s="274"/>
      <c r="I247" s="18"/>
      <c r="J247" s="54"/>
      <c r="K247" s="18"/>
      <c r="L247" s="18"/>
    </row>
    <row r="248" spans="1:14" ht="21.9" customHeight="1">
      <c r="A248" s="50"/>
      <c r="B248" s="18"/>
      <c r="D248" s="18"/>
      <c r="E248" s="18"/>
      <c r="F248" s="18"/>
      <c r="G248" s="18"/>
      <c r="H248" s="274"/>
      <c r="I248" s="18"/>
      <c r="J248" s="54"/>
      <c r="K248" s="18"/>
      <c r="L248" s="18"/>
    </row>
    <row r="249" spans="1:14" ht="21.9" customHeight="1">
      <c r="A249" s="50"/>
      <c r="B249" s="18"/>
      <c r="D249" s="18"/>
      <c r="E249" s="18"/>
      <c r="F249" s="18"/>
      <c r="G249" s="18"/>
      <c r="H249" s="274"/>
      <c r="I249" s="18"/>
      <c r="J249" s="54"/>
      <c r="K249" s="18"/>
      <c r="L249" s="18"/>
    </row>
    <row r="250" spans="1:14" ht="21.9" customHeight="1">
      <c r="A250" s="50"/>
      <c r="B250" s="18"/>
      <c r="D250" s="18"/>
      <c r="E250" s="18"/>
      <c r="F250" s="18"/>
      <c r="G250" s="18"/>
      <c r="H250" s="274"/>
      <c r="I250" s="18"/>
      <c r="J250" s="54"/>
      <c r="K250" s="18"/>
      <c r="L250" s="18"/>
    </row>
    <row r="251" spans="1:14" ht="21.9" customHeight="1">
      <c r="A251" s="50"/>
      <c r="B251" s="18"/>
      <c r="D251" s="18"/>
      <c r="E251" s="18"/>
      <c r="F251" s="18"/>
      <c r="G251" s="18"/>
      <c r="H251" s="274"/>
      <c r="I251" s="18"/>
      <c r="J251" s="54"/>
      <c r="K251" s="18"/>
      <c r="L251" s="18"/>
    </row>
    <row r="252" spans="1:14" ht="21.9" customHeight="1">
      <c r="A252" s="50"/>
      <c r="B252" s="18"/>
      <c r="D252" s="18"/>
      <c r="E252" s="18"/>
      <c r="F252" s="18"/>
      <c r="G252" s="18"/>
      <c r="H252" s="274"/>
      <c r="I252" s="18"/>
      <c r="J252" s="54"/>
      <c r="K252" s="18"/>
      <c r="L252" s="18"/>
    </row>
    <row r="253" spans="1:14" ht="21.9" customHeight="1">
      <c r="A253" s="50"/>
      <c r="B253" s="18"/>
      <c r="D253" s="18"/>
      <c r="E253" s="18"/>
      <c r="F253" s="18"/>
      <c r="G253" s="18"/>
      <c r="H253" s="274"/>
      <c r="I253" s="18"/>
      <c r="J253" s="54"/>
      <c r="K253" s="18"/>
      <c r="L253" s="18"/>
    </row>
    <row r="254" spans="1:14" ht="21.9" customHeight="1">
      <c r="A254" s="525"/>
      <c r="B254" s="52"/>
      <c r="C254" s="52"/>
      <c r="D254" s="52"/>
      <c r="E254" s="52"/>
      <c r="F254" s="52"/>
      <c r="G254" s="52"/>
      <c r="H254" s="260"/>
      <c r="I254" s="52"/>
      <c r="J254" s="55"/>
      <c r="K254" s="52"/>
      <c r="L254" s="52"/>
    </row>
    <row r="255" spans="1:14" ht="21.9" customHeight="1">
      <c r="A255" s="525"/>
      <c r="B255" s="52"/>
      <c r="C255" s="52"/>
      <c r="D255" s="52"/>
      <c r="E255" s="52"/>
      <c r="F255" s="52"/>
      <c r="G255" s="52"/>
      <c r="H255" s="260"/>
      <c r="I255" s="52"/>
      <c r="J255" s="55"/>
      <c r="K255" s="52"/>
      <c r="L255" s="52"/>
    </row>
    <row r="256" spans="1:14" s="2" customFormat="1" ht="21.9" customHeight="1">
      <c r="A256" s="525"/>
      <c r="B256" s="53" t="s">
        <v>91</v>
      </c>
      <c r="C256" s="53" t="s">
        <v>65</v>
      </c>
      <c r="D256" s="53"/>
      <c r="E256" s="53">
        <v>24</v>
      </c>
      <c r="F256" s="53"/>
      <c r="G256" s="53"/>
      <c r="H256" s="275"/>
      <c r="I256" s="53"/>
      <c r="J256" s="56"/>
      <c r="K256" s="53"/>
      <c r="L256" s="53"/>
      <c r="M256" s="68"/>
      <c r="N256" s="68"/>
    </row>
    <row r="257" spans="1:12" ht="21.9" customHeight="1">
      <c r="A257" s="50"/>
      <c r="B257" s="18"/>
      <c r="D257" s="18">
        <v>1</v>
      </c>
      <c r="E257" s="18"/>
      <c r="F257" s="18"/>
      <c r="G257" s="18"/>
      <c r="H257" s="274"/>
      <c r="I257" s="18"/>
      <c r="J257" s="54"/>
      <c r="K257" s="18"/>
      <c r="L257" s="18"/>
    </row>
    <row r="258" spans="1:12" ht="21.9" customHeight="1">
      <c r="A258" s="50"/>
      <c r="B258" s="18"/>
      <c r="D258" s="18"/>
      <c r="E258" s="18"/>
      <c r="F258" s="18"/>
      <c r="G258" s="18"/>
      <c r="H258" s="274"/>
      <c r="I258" s="18"/>
      <c r="J258" s="54"/>
      <c r="K258" s="18"/>
      <c r="L258" s="18"/>
    </row>
    <row r="259" spans="1:12" ht="21.9" customHeight="1">
      <c r="A259" s="50"/>
      <c r="B259" s="18" t="s">
        <v>92</v>
      </c>
      <c r="C259" s="18" t="s">
        <v>65</v>
      </c>
      <c r="D259" s="18"/>
      <c r="E259" s="18">
        <v>24</v>
      </c>
      <c r="F259" s="18"/>
      <c r="G259" s="18"/>
      <c r="H259" s="274"/>
      <c r="I259" s="18"/>
      <c r="J259" s="54"/>
      <c r="K259" s="18"/>
      <c r="L259" s="18"/>
    </row>
    <row r="260" spans="1:12" ht="21.9" customHeight="1">
      <c r="A260" s="50"/>
      <c r="B260" s="18"/>
      <c r="D260" s="18"/>
      <c r="E260" s="18"/>
      <c r="F260" s="18"/>
      <c r="G260" s="18"/>
      <c r="H260" s="274"/>
      <c r="I260" s="18"/>
      <c r="J260" s="54"/>
      <c r="K260" s="18"/>
      <c r="L260" s="18"/>
    </row>
    <row r="261" spans="1:12" ht="21.9" customHeight="1">
      <c r="A261" s="50"/>
      <c r="B261" s="18"/>
      <c r="D261" s="18"/>
      <c r="E261" s="18"/>
      <c r="F261" s="18"/>
      <c r="G261" s="18"/>
      <c r="H261" s="274"/>
      <c r="I261" s="18"/>
      <c r="J261" s="54"/>
      <c r="K261" s="18"/>
      <c r="L261" s="18"/>
    </row>
    <row r="262" spans="1:12" ht="21.9" customHeight="1">
      <c r="A262" s="525"/>
      <c r="B262" s="52"/>
      <c r="C262" s="52"/>
      <c r="D262" s="52"/>
      <c r="E262" s="52"/>
      <c r="F262" s="52"/>
      <c r="G262" s="52"/>
      <c r="H262" s="260"/>
      <c r="I262" s="52"/>
      <c r="J262" s="55"/>
      <c r="K262" s="52"/>
      <c r="L262" s="52"/>
    </row>
    <row r="263" spans="1:12" ht="21.9" customHeight="1">
      <c r="A263" s="525"/>
      <c r="B263" s="52"/>
      <c r="C263" s="52"/>
      <c r="D263" s="52"/>
      <c r="E263" s="52"/>
      <c r="F263" s="52"/>
      <c r="G263" s="52"/>
      <c r="H263" s="260"/>
      <c r="I263" s="52"/>
      <c r="J263" s="55"/>
      <c r="K263" s="52"/>
      <c r="L263" s="52"/>
    </row>
    <row r="264" spans="1:12" ht="21.9" customHeight="1">
      <c r="A264" s="50"/>
      <c r="B264" s="52"/>
      <c r="C264" s="52"/>
      <c r="D264" s="52"/>
      <c r="E264" s="52"/>
      <c r="F264" s="52"/>
      <c r="G264" s="52"/>
      <c r="H264" s="260"/>
      <c r="I264" s="52"/>
      <c r="J264" s="55"/>
      <c r="K264" s="52"/>
      <c r="L264" s="52"/>
    </row>
    <row r="265" spans="1:12" ht="21.9" customHeight="1">
      <c r="A265" s="50"/>
      <c r="B265" s="18"/>
      <c r="D265" s="18"/>
      <c r="E265" s="18"/>
      <c r="F265" s="18"/>
      <c r="G265" s="18"/>
      <c r="H265" s="274"/>
      <c r="I265" s="18"/>
      <c r="J265" s="54"/>
      <c r="K265" s="18"/>
      <c r="L265" s="18"/>
    </row>
    <row r="266" spans="1:12" ht="21.9" customHeight="1">
      <c r="A266" s="50"/>
      <c r="B266" s="18"/>
      <c r="D266" s="18"/>
      <c r="E266" s="18"/>
      <c r="F266" s="18"/>
      <c r="G266" s="18"/>
      <c r="H266" s="274"/>
      <c r="I266" s="18"/>
      <c r="J266" s="54"/>
      <c r="K266" s="18"/>
      <c r="L266" s="18"/>
    </row>
    <row r="267" spans="1:12" ht="21.9" customHeight="1">
      <c r="A267" s="50"/>
      <c r="B267" s="18"/>
      <c r="D267" s="18"/>
      <c r="E267" s="18"/>
      <c r="F267" s="18"/>
      <c r="G267" s="18"/>
      <c r="H267" s="274"/>
      <c r="I267" s="18"/>
      <c r="J267" s="54"/>
      <c r="K267" s="18"/>
      <c r="L267" s="18"/>
    </row>
    <row r="268" spans="1:12" ht="21.9" customHeight="1">
      <c r="A268" s="50"/>
      <c r="B268" s="18"/>
      <c r="D268" s="18"/>
      <c r="E268" s="18"/>
      <c r="F268" s="18"/>
      <c r="G268" s="18"/>
      <c r="H268" s="274"/>
      <c r="I268" s="18"/>
      <c r="J268" s="54"/>
      <c r="K268" s="18"/>
      <c r="L268" s="18"/>
    </row>
    <row r="269" spans="1:12" ht="21.9" customHeight="1">
      <c r="A269" s="50"/>
      <c r="B269" s="18"/>
      <c r="D269" s="18"/>
      <c r="E269" s="18"/>
      <c r="F269" s="18"/>
      <c r="G269" s="18"/>
      <c r="H269" s="274"/>
      <c r="I269" s="18"/>
      <c r="J269" s="54"/>
      <c r="K269" s="18"/>
      <c r="L269" s="18"/>
    </row>
    <row r="270" spans="1:12" ht="21.9" customHeight="1">
      <c r="A270" s="50"/>
      <c r="B270" s="18"/>
      <c r="D270" s="18"/>
      <c r="E270" s="18"/>
      <c r="F270" s="18"/>
      <c r="G270" s="18"/>
      <c r="H270" s="274"/>
      <c r="I270" s="18"/>
      <c r="J270" s="54"/>
      <c r="K270" s="18"/>
      <c r="L270" s="18"/>
    </row>
    <row r="271" spans="1:12" ht="21.9" customHeight="1">
      <c r="A271" s="50"/>
      <c r="B271" s="18"/>
      <c r="D271" s="18"/>
      <c r="E271" s="18"/>
      <c r="F271" s="18"/>
      <c r="G271" s="18"/>
      <c r="H271" s="274"/>
      <c r="I271" s="18"/>
      <c r="J271" s="54"/>
      <c r="K271" s="18"/>
      <c r="L271" s="18"/>
    </row>
    <row r="272" spans="1:12" ht="21.9" customHeight="1">
      <c r="A272" s="50"/>
      <c r="B272" s="18"/>
      <c r="D272" s="18"/>
      <c r="E272" s="18"/>
      <c r="F272" s="18"/>
      <c r="G272" s="18"/>
      <c r="H272" s="274"/>
      <c r="I272" s="18"/>
      <c r="J272" s="54"/>
      <c r="K272" s="18"/>
      <c r="L272" s="18"/>
    </row>
    <row r="273" spans="1:12" ht="21.9" customHeight="1">
      <c r="A273" s="50"/>
      <c r="B273" s="18"/>
      <c r="D273" s="18"/>
      <c r="E273" s="18"/>
      <c r="F273" s="18"/>
      <c r="G273" s="18"/>
      <c r="H273" s="274"/>
      <c r="I273" s="18"/>
      <c r="J273" s="54"/>
      <c r="K273" s="18"/>
      <c r="L273" s="18"/>
    </row>
    <row r="274" spans="1:12" ht="21.9" customHeight="1">
      <c r="A274" s="50"/>
      <c r="B274" s="18"/>
      <c r="D274" s="18"/>
      <c r="E274" s="18"/>
      <c r="F274" s="18"/>
      <c r="G274" s="18"/>
      <c r="H274" s="274"/>
      <c r="I274" s="18"/>
      <c r="J274" s="54"/>
      <c r="K274" s="18"/>
      <c r="L274" s="18"/>
    </row>
    <row r="275" spans="1:12" ht="21.9" customHeight="1">
      <c r="A275" s="50"/>
      <c r="B275" s="18"/>
      <c r="D275" s="18"/>
      <c r="E275" s="18"/>
      <c r="F275" s="18"/>
      <c r="G275" s="18"/>
      <c r="H275" s="274"/>
      <c r="I275" s="18"/>
      <c r="J275" s="54"/>
      <c r="K275" s="18"/>
      <c r="L275" s="18"/>
    </row>
    <row r="276" spans="1:12" ht="21.9" customHeight="1">
      <c r="A276" s="50"/>
      <c r="B276" s="18"/>
      <c r="D276" s="18"/>
      <c r="E276" s="18"/>
      <c r="F276" s="18"/>
      <c r="G276" s="18"/>
      <c r="H276" s="274"/>
      <c r="I276" s="18"/>
      <c r="J276" s="54"/>
      <c r="K276" s="18"/>
      <c r="L276" s="18"/>
    </row>
    <row r="277" spans="1:12" ht="21.9" customHeight="1">
      <c r="A277" s="50"/>
      <c r="B277" s="18"/>
      <c r="D277" s="18"/>
      <c r="E277" s="18"/>
      <c r="F277" s="18"/>
      <c r="G277" s="18"/>
      <c r="H277" s="274"/>
      <c r="I277" s="18"/>
      <c r="J277" s="54"/>
      <c r="K277" s="18"/>
      <c r="L277" s="18"/>
    </row>
    <row r="278" spans="1:12" ht="21.9" customHeight="1">
      <c r="A278" s="50"/>
      <c r="B278" s="18"/>
      <c r="D278" s="18"/>
      <c r="E278" s="18"/>
      <c r="F278" s="18"/>
      <c r="G278" s="18"/>
      <c r="H278" s="274"/>
      <c r="I278" s="18"/>
      <c r="J278" s="54"/>
      <c r="K278" s="18"/>
      <c r="L278" s="18"/>
    </row>
    <row r="279" spans="1:12" ht="21.9" customHeight="1">
      <c r="A279" s="50"/>
      <c r="B279" s="18"/>
      <c r="D279" s="18"/>
      <c r="E279" s="18"/>
      <c r="F279" s="18"/>
      <c r="G279" s="18"/>
      <c r="H279" s="274"/>
      <c r="I279" s="18"/>
      <c r="J279" s="54"/>
      <c r="K279" s="18"/>
      <c r="L279" s="18"/>
    </row>
    <row r="280" spans="1:12" ht="21.9" customHeight="1">
      <c r="A280" s="50"/>
      <c r="B280" s="18"/>
      <c r="D280" s="18"/>
      <c r="E280" s="18"/>
      <c r="F280" s="18"/>
      <c r="G280" s="18"/>
      <c r="H280" s="274"/>
      <c r="I280" s="18"/>
      <c r="J280" s="54"/>
      <c r="K280" s="18"/>
      <c r="L280" s="18"/>
    </row>
    <row r="281" spans="1:12" ht="21.9" customHeight="1">
      <c r="A281" s="50"/>
      <c r="B281" s="18"/>
      <c r="D281" s="18"/>
      <c r="E281" s="18"/>
      <c r="F281" s="18"/>
      <c r="G281" s="18"/>
      <c r="H281" s="274"/>
      <c r="I281" s="18"/>
      <c r="J281" s="54"/>
      <c r="K281" s="18"/>
      <c r="L281" s="18"/>
    </row>
    <row r="282" spans="1:12" ht="21.9" customHeight="1">
      <c r="A282" s="50"/>
      <c r="B282" s="18"/>
      <c r="D282" s="18"/>
      <c r="E282" s="18"/>
      <c r="F282" s="18"/>
      <c r="G282" s="18"/>
      <c r="H282" s="274"/>
      <c r="I282" s="18"/>
      <c r="J282" s="54"/>
      <c r="K282" s="18"/>
      <c r="L282" s="18"/>
    </row>
    <row r="283" spans="1:12" ht="21.9" customHeight="1">
      <c r="A283" s="50"/>
      <c r="B283" s="18"/>
      <c r="D283" s="18"/>
      <c r="E283" s="18"/>
      <c r="F283" s="18"/>
      <c r="G283" s="18"/>
      <c r="H283" s="274"/>
      <c r="I283" s="18"/>
      <c r="J283" s="54"/>
      <c r="K283" s="18"/>
      <c r="L283" s="18"/>
    </row>
    <row r="284" spans="1:12" ht="21.9" customHeight="1">
      <c r="A284" s="50"/>
      <c r="B284" s="18"/>
      <c r="D284" s="18"/>
      <c r="E284" s="18"/>
      <c r="F284" s="18"/>
      <c r="G284" s="18"/>
      <c r="H284" s="274"/>
      <c r="I284" s="18"/>
      <c r="J284" s="54"/>
      <c r="K284" s="18"/>
      <c r="L284" s="18"/>
    </row>
    <row r="285" spans="1:12" ht="21.9" customHeight="1">
      <c r="A285" s="50"/>
      <c r="B285" s="18"/>
      <c r="D285" s="18"/>
      <c r="E285" s="18"/>
      <c r="F285" s="18"/>
      <c r="G285" s="18"/>
      <c r="H285" s="274"/>
      <c r="I285" s="18"/>
      <c r="J285" s="54"/>
      <c r="K285" s="18"/>
      <c r="L285" s="18"/>
    </row>
    <row r="286" spans="1:12" ht="21.9" customHeight="1">
      <c r="A286" s="50"/>
      <c r="B286" s="18"/>
      <c r="D286" s="18"/>
      <c r="E286" s="18"/>
      <c r="F286" s="18"/>
      <c r="G286" s="18"/>
      <c r="H286" s="274"/>
      <c r="I286" s="18"/>
      <c r="J286" s="54"/>
      <c r="K286" s="18"/>
      <c r="L286" s="18"/>
    </row>
    <row r="287" spans="1:12" ht="21.9" customHeight="1">
      <c r="A287" s="50"/>
      <c r="B287" s="18"/>
      <c r="D287" s="18"/>
      <c r="E287" s="18"/>
      <c r="F287" s="18"/>
      <c r="G287" s="18"/>
      <c r="H287" s="274"/>
      <c r="I287" s="18"/>
      <c r="J287" s="54"/>
      <c r="K287" s="18"/>
      <c r="L287" s="18"/>
    </row>
    <row r="288" spans="1:12" ht="21.9" customHeight="1">
      <c r="A288" s="50"/>
      <c r="B288" s="18"/>
      <c r="D288" s="18"/>
      <c r="E288" s="18"/>
      <c r="F288" s="18"/>
      <c r="G288" s="18"/>
      <c r="H288" s="274"/>
      <c r="I288" s="18"/>
      <c r="J288" s="54"/>
      <c r="K288" s="18"/>
      <c r="L288" s="18"/>
    </row>
    <row r="289" spans="1:12" ht="21.9" customHeight="1">
      <c r="A289" s="50"/>
      <c r="B289" s="18"/>
      <c r="D289" s="18"/>
      <c r="E289" s="18"/>
      <c r="F289" s="18"/>
      <c r="G289" s="18"/>
      <c r="H289" s="274"/>
      <c r="I289" s="18"/>
      <c r="J289" s="54"/>
      <c r="K289" s="18"/>
      <c r="L289" s="18"/>
    </row>
    <row r="290" spans="1:12" ht="21.9" customHeight="1">
      <c r="A290" s="50"/>
      <c r="B290" s="18"/>
      <c r="D290" s="18"/>
      <c r="E290" s="18"/>
      <c r="F290" s="18"/>
      <c r="G290" s="18"/>
      <c r="H290" s="274"/>
      <c r="I290" s="18"/>
      <c r="J290" s="54"/>
      <c r="K290" s="18"/>
      <c r="L290" s="18"/>
    </row>
    <row r="291" spans="1:12" ht="21.9" customHeight="1">
      <c r="A291" s="50"/>
      <c r="B291" s="18"/>
      <c r="D291" s="18"/>
      <c r="E291" s="18"/>
      <c r="F291" s="18"/>
      <c r="G291" s="18"/>
      <c r="H291" s="274"/>
      <c r="I291" s="18"/>
      <c r="J291" s="54"/>
      <c r="K291" s="18"/>
      <c r="L291" s="18"/>
    </row>
    <row r="292" spans="1:12" ht="21.9" customHeight="1">
      <c r="A292" s="50"/>
      <c r="B292" s="18"/>
      <c r="D292" s="18"/>
      <c r="E292" s="18"/>
      <c r="F292" s="18"/>
      <c r="G292" s="18"/>
      <c r="H292" s="274"/>
      <c r="I292" s="18"/>
      <c r="J292" s="54"/>
      <c r="K292" s="18"/>
      <c r="L292" s="18"/>
    </row>
    <row r="293" spans="1:12" ht="21.9" customHeight="1">
      <c r="A293" s="50"/>
      <c r="B293" s="18"/>
      <c r="D293" s="18"/>
      <c r="E293" s="18"/>
      <c r="F293" s="18"/>
      <c r="G293" s="18"/>
      <c r="H293" s="274"/>
      <c r="I293" s="18"/>
      <c r="J293" s="54"/>
      <c r="K293" s="18"/>
      <c r="L293" s="18"/>
    </row>
    <row r="294" spans="1:12" ht="21.9" customHeight="1">
      <c r="A294" s="50"/>
      <c r="B294" s="18"/>
      <c r="D294" s="18"/>
      <c r="E294" s="18"/>
      <c r="F294" s="18"/>
      <c r="G294" s="18"/>
      <c r="H294" s="274"/>
      <c r="I294" s="18"/>
      <c r="J294" s="54"/>
      <c r="K294" s="18"/>
      <c r="L294" s="18"/>
    </row>
    <row r="295" spans="1:12" ht="21.9" customHeight="1">
      <c r="A295" s="50"/>
      <c r="B295" s="18"/>
      <c r="D295" s="18"/>
      <c r="E295" s="18"/>
      <c r="F295" s="18"/>
      <c r="G295" s="18"/>
      <c r="H295" s="274"/>
      <c r="I295" s="18"/>
      <c r="J295" s="54"/>
      <c r="K295" s="18"/>
      <c r="L295" s="18"/>
    </row>
    <row r="296" spans="1:12" ht="21.9" customHeight="1">
      <c r="A296" s="50"/>
      <c r="B296" s="18"/>
      <c r="D296" s="18"/>
      <c r="E296" s="18"/>
      <c r="F296" s="18"/>
      <c r="G296" s="18"/>
      <c r="H296" s="274"/>
      <c r="I296" s="18"/>
      <c r="J296" s="54"/>
      <c r="K296" s="18"/>
      <c r="L296" s="18"/>
    </row>
    <row r="297" spans="1:12" ht="21.9" customHeight="1">
      <c r="A297" s="50"/>
      <c r="B297" s="18"/>
      <c r="D297" s="18"/>
      <c r="E297" s="18"/>
      <c r="F297" s="18"/>
      <c r="G297" s="18"/>
      <c r="H297" s="274"/>
      <c r="I297" s="18"/>
      <c r="J297" s="54"/>
      <c r="K297" s="18"/>
      <c r="L297" s="18"/>
    </row>
    <row r="298" spans="1:12" ht="21.9" customHeight="1">
      <c r="A298" s="50"/>
      <c r="B298" s="18"/>
      <c r="D298" s="18"/>
      <c r="E298" s="18"/>
      <c r="F298" s="18"/>
      <c r="G298" s="18"/>
      <c r="H298" s="274"/>
      <c r="I298" s="18"/>
      <c r="J298" s="54"/>
      <c r="K298" s="18"/>
      <c r="L298" s="18"/>
    </row>
    <row r="299" spans="1:12" ht="21.9" customHeight="1">
      <c r="A299" s="50"/>
      <c r="B299" s="18"/>
      <c r="D299" s="18"/>
      <c r="E299" s="18"/>
      <c r="F299" s="18"/>
      <c r="G299" s="18"/>
      <c r="H299" s="274"/>
      <c r="I299" s="18"/>
      <c r="J299" s="54"/>
      <c r="K299" s="18"/>
      <c r="L299" s="18"/>
    </row>
    <row r="300" spans="1:12" ht="21.9" customHeight="1">
      <c r="A300" s="50"/>
      <c r="B300" s="18"/>
      <c r="D300" s="18"/>
      <c r="E300" s="18"/>
      <c r="F300" s="18"/>
      <c r="G300" s="18"/>
      <c r="H300" s="274"/>
      <c r="I300" s="18"/>
      <c r="J300" s="54"/>
      <c r="K300" s="18"/>
      <c r="L300" s="18"/>
    </row>
    <row r="301" spans="1:12" ht="21.9" customHeight="1">
      <c r="A301" s="50"/>
      <c r="B301" s="18"/>
      <c r="D301" s="18"/>
      <c r="E301" s="18"/>
      <c r="F301" s="18"/>
      <c r="G301" s="18"/>
      <c r="H301" s="274"/>
      <c r="I301" s="18"/>
      <c r="J301" s="54"/>
      <c r="K301" s="18"/>
      <c r="L301" s="18"/>
    </row>
    <row r="302" spans="1:12" ht="21.9" customHeight="1">
      <c r="A302" s="50"/>
      <c r="B302" s="18"/>
      <c r="D302" s="18"/>
      <c r="E302" s="18"/>
      <c r="F302" s="18"/>
      <c r="G302" s="18"/>
      <c r="H302" s="274"/>
      <c r="I302" s="18"/>
      <c r="J302" s="54"/>
      <c r="K302" s="18"/>
      <c r="L302" s="18"/>
    </row>
    <row r="303" spans="1:12" ht="21.9" customHeight="1">
      <c r="A303" s="50"/>
      <c r="B303" s="18"/>
      <c r="D303" s="18"/>
      <c r="E303" s="18"/>
      <c r="F303" s="18"/>
      <c r="G303" s="18"/>
      <c r="H303" s="274"/>
      <c r="I303" s="18"/>
      <c r="J303" s="54"/>
      <c r="K303" s="18"/>
      <c r="L303" s="18"/>
    </row>
    <row r="304" spans="1:12" ht="21.9" customHeight="1">
      <c r="A304" s="50"/>
      <c r="B304" s="18"/>
      <c r="D304" s="18"/>
      <c r="E304" s="18"/>
      <c r="F304" s="18"/>
      <c r="G304" s="18"/>
      <c r="H304" s="274"/>
      <c r="I304" s="18"/>
      <c r="J304" s="54"/>
      <c r="K304" s="18"/>
      <c r="L304" s="18"/>
    </row>
    <row r="305" spans="1:12" ht="21.9" customHeight="1">
      <c r="A305" s="50"/>
      <c r="B305" s="18"/>
      <c r="D305" s="18"/>
      <c r="E305" s="18"/>
      <c r="F305" s="18"/>
      <c r="G305" s="18"/>
      <c r="H305" s="274"/>
      <c r="I305" s="18"/>
      <c r="J305" s="54"/>
      <c r="K305" s="18"/>
      <c r="L305" s="18"/>
    </row>
    <row r="306" spans="1:12" ht="21.9" customHeight="1">
      <c r="A306" s="50"/>
      <c r="B306" s="18"/>
      <c r="D306" s="18"/>
      <c r="E306" s="18"/>
      <c r="F306" s="18"/>
      <c r="G306" s="18"/>
      <c r="H306" s="274"/>
      <c r="I306" s="18"/>
      <c r="J306" s="54"/>
      <c r="K306" s="18"/>
      <c r="L306" s="18"/>
    </row>
    <row r="307" spans="1:12" ht="21.9" customHeight="1">
      <c r="A307" s="50"/>
      <c r="B307" s="18"/>
      <c r="D307" s="18"/>
      <c r="E307" s="18"/>
      <c r="F307" s="18"/>
      <c r="G307" s="18"/>
      <c r="H307" s="274"/>
      <c r="I307" s="18"/>
      <c r="J307" s="54"/>
      <c r="K307" s="18"/>
      <c r="L307" s="18"/>
    </row>
    <row r="308" spans="1:12" ht="21.9" customHeight="1">
      <c r="A308" s="50"/>
      <c r="B308" s="18"/>
      <c r="D308" s="18"/>
      <c r="E308" s="18"/>
      <c r="F308" s="18"/>
      <c r="G308" s="18"/>
      <c r="H308" s="274"/>
      <c r="I308" s="18"/>
      <c r="J308" s="54"/>
      <c r="K308" s="18"/>
      <c r="L308" s="18"/>
    </row>
    <row r="309" spans="1:12" ht="21.9" customHeight="1">
      <c r="A309" s="50"/>
      <c r="B309" s="18"/>
      <c r="D309" s="18"/>
      <c r="E309" s="18"/>
      <c r="F309" s="18"/>
      <c r="G309" s="18"/>
      <c r="H309" s="274"/>
      <c r="I309" s="18"/>
      <c r="J309" s="54"/>
      <c r="K309" s="18"/>
      <c r="L309" s="18"/>
    </row>
    <row r="310" spans="1:12" ht="21.9" customHeight="1">
      <c r="A310" s="50"/>
      <c r="B310" s="18"/>
      <c r="D310" s="18"/>
      <c r="E310" s="18"/>
      <c r="F310" s="18"/>
      <c r="G310" s="18"/>
      <c r="H310" s="274"/>
      <c r="I310" s="18"/>
      <c r="J310" s="54"/>
      <c r="K310" s="18"/>
      <c r="L310" s="18"/>
    </row>
    <row r="311" spans="1:12" ht="21.9" customHeight="1">
      <c r="A311" s="50"/>
      <c r="B311" s="18"/>
      <c r="D311" s="18"/>
      <c r="E311" s="18"/>
      <c r="F311" s="18"/>
      <c r="G311" s="18"/>
      <c r="H311" s="274"/>
      <c r="I311" s="18"/>
      <c r="J311" s="54"/>
      <c r="K311" s="18"/>
      <c r="L311" s="18"/>
    </row>
    <row r="312" spans="1:12" ht="21.9" customHeight="1">
      <c r="A312" s="50"/>
      <c r="B312" s="18"/>
      <c r="D312" s="18"/>
      <c r="E312" s="18"/>
      <c r="F312" s="18"/>
      <c r="G312" s="18"/>
      <c r="H312" s="274"/>
      <c r="I312" s="18"/>
      <c r="J312" s="54"/>
      <c r="K312" s="18"/>
      <c r="L312" s="18"/>
    </row>
    <row r="313" spans="1:12" ht="21.9" customHeight="1">
      <c r="A313" s="50"/>
      <c r="B313" s="18"/>
      <c r="D313" s="18"/>
      <c r="E313" s="18"/>
      <c r="F313" s="18"/>
      <c r="G313" s="18"/>
      <c r="H313" s="274"/>
      <c r="I313" s="18"/>
      <c r="J313" s="54"/>
      <c r="K313" s="18"/>
      <c r="L313" s="18"/>
    </row>
    <row r="314" spans="1:12" ht="21.9" customHeight="1">
      <c r="A314" s="50"/>
      <c r="B314" s="18"/>
      <c r="D314" s="18"/>
      <c r="E314" s="18"/>
      <c r="F314" s="18"/>
      <c r="G314" s="18"/>
      <c r="H314" s="274"/>
      <c r="I314" s="18"/>
      <c r="J314" s="54"/>
      <c r="K314" s="18"/>
      <c r="L314" s="18"/>
    </row>
    <row r="315" spans="1:12" ht="21.9" customHeight="1">
      <c r="A315" s="50"/>
      <c r="B315" s="18"/>
      <c r="D315" s="18"/>
      <c r="E315" s="18"/>
      <c r="F315" s="18"/>
      <c r="G315" s="18"/>
      <c r="H315" s="274"/>
      <c r="I315" s="18"/>
      <c r="J315" s="54"/>
      <c r="K315" s="18"/>
      <c r="L315" s="18"/>
    </row>
    <row r="316" spans="1:12" ht="21.9" customHeight="1">
      <c r="A316" s="50"/>
      <c r="B316" s="18"/>
      <c r="D316" s="18"/>
      <c r="E316" s="18"/>
      <c r="F316" s="18"/>
      <c r="G316" s="18"/>
      <c r="H316" s="274"/>
      <c r="I316" s="18"/>
      <c r="J316" s="54"/>
      <c r="K316" s="18"/>
      <c r="L316" s="18"/>
    </row>
    <row r="317" spans="1:12" ht="21.9" customHeight="1">
      <c r="A317" s="50"/>
      <c r="B317" s="18"/>
      <c r="D317" s="18"/>
      <c r="E317" s="18"/>
      <c r="F317" s="18"/>
      <c r="G317" s="18"/>
      <c r="H317" s="274"/>
      <c r="I317" s="18"/>
      <c r="J317" s="54"/>
      <c r="K317" s="18"/>
      <c r="L317" s="18"/>
    </row>
    <row r="318" spans="1:12" ht="21.9" customHeight="1">
      <c r="A318" s="50"/>
      <c r="B318" s="18"/>
      <c r="D318" s="18"/>
      <c r="E318" s="18"/>
      <c r="F318" s="18"/>
      <c r="G318" s="18"/>
      <c r="H318" s="274"/>
      <c r="I318" s="18"/>
      <c r="J318" s="54"/>
      <c r="K318" s="18"/>
      <c r="L318" s="18"/>
    </row>
    <row r="319" spans="1:12" ht="21.9" customHeight="1">
      <c r="A319" s="50"/>
      <c r="B319" s="18"/>
      <c r="D319" s="18"/>
      <c r="E319" s="18"/>
      <c r="F319" s="18"/>
      <c r="G319" s="18"/>
      <c r="H319" s="274"/>
      <c r="I319" s="18"/>
      <c r="J319" s="54"/>
      <c r="K319" s="18"/>
      <c r="L319" s="18"/>
    </row>
    <row r="320" spans="1:12" ht="21.9" customHeight="1">
      <c r="A320" s="50"/>
      <c r="B320" s="18"/>
      <c r="D320" s="18"/>
      <c r="E320" s="18"/>
      <c r="F320" s="18"/>
      <c r="G320" s="18"/>
      <c r="H320" s="274"/>
      <c r="I320" s="18"/>
      <c r="J320" s="54"/>
      <c r="K320" s="18"/>
      <c r="L320" s="18"/>
    </row>
    <row r="321" spans="1:12" ht="21.9" customHeight="1">
      <c r="A321" s="50"/>
      <c r="B321" s="18"/>
      <c r="D321" s="18"/>
      <c r="E321" s="18"/>
      <c r="F321" s="18"/>
      <c r="G321" s="18"/>
      <c r="H321" s="274"/>
      <c r="I321" s="18"/>
      <c r="J321" s="54"/>
      <c r="K321" s="18"/>
      <c r="L321" s="18"/>
    </row>
    <row r="322" spans="1:12" ht="21.9" customHeight="1">
      <c r="A322" s="50"/>
      <c r="B322" s="18"/>
      <c r="D322" s="18"/>
      <c r="E322" s="18"/>
      <c r="F322" s="18"/>
      <c r="G322" s="18"/>
      <c r="H322" s="274"/>
      <c r="I322" s="18"/>
      <c r="J322" s="54"/>
      <c r="K322" s="18"/>
      <c r="L322" s="18"/>
    </row>
    <row r="323" spans="1:12" ht="21.9" customHeight="1">
      <c r="A323" s="50"/>
      <c r="B323" s="18"/>
      <c r="D323" s="18"/>
      <c r="E323" s="18"/>
      <c r="F323" s="18"/>
      <c r="G323" s="18"/>
      <c r="H323" s="274"/>
      <c r="I323" s="18"/>
      <c r="J323" s="54"/>
      <c r="K323" s="18"/>
      <c r="L323" s="18"/>
    </row>
    <row r="324" spans="1:12" ht="21.9" customHeight="1">
      <c r="A324" s="50"/>
      <c r="B324" s="18"/>
      <c r="D324" s="18"/>
      <c r="E324" s="18"/>
      <c r="F324" s="18"/>
      <c r="G324" s="18"/>
      <c r="H324" s="274"/>
      <c r="I324" s="18"/>
      <c r="J324" s="54"/>
      <c r="K324" s="18"/>
      <c r="L324" s="18"/>
    </row>
    <row r="325" spans="1:12" ht="21.9" customHeight="1">
      <c r="A325" s="50"/>
      <c r="B325" s="18"/>
      <c r="D325" s="18"/>
      <c r="E325" s="18"/>
      <c r="F325" s="18"/>
      <c r="G325" s="18"/>
      <c r="H325" s="274"/>
      <c r="I325" s="18"/>
      <c r="J325" s="54"/>
      <c r="K325" s="18"/>
      <c r="L325" s="18"/>
    </row>
    <row r="326" spans="1:12" ht="21.9" customHeight="1">
      <c r="A326" s="50"/>
      <c r="B326" s="18"/>
      <c r="D326" s="18"/>
      <c r="E326" s="18"/>
      <c r="F326" s="18"/>
      <c r="G326" s="18"/>
      <c r="H326" s="274"/>
      <c r="I326" s="18"/>
      <c r="J326" s="54"/>
      <c r="K326" s="18"/>
      <c r="L326" s="18"/>
    </row>
    <row r="327" spans="1:12" ht="21.9" customHeight="1">
      <c r="A327" s="50"/>
      <c r="B327" s="18"/>
      <c r="D327" s="18"/>
      <c r="E327" s="18"/>
      <c r="F327" s="18"/>
      <c r="G327" s="18"/>
      <c r="H327" s="274"/>
      <c r="I327" s="18"/>
      <c r="J327" s="54"/>
      <c r="K327" s="18"/>
      <c r="L327" s="18"/>
    </row>
    <row r="328" spans="1:12" ht="21.9" customHeight="1">
      <c r="A328" s="50"/>
      <c r="B328" s="18"/>
      <c r="D328" s="18"/>
      <c r="E328" s="18"/>
      <c r="F328" s="18"/>
      <c r="G328" s="18"/>
      <c r="H328" s="274"/>
      <c r="I328" s="18"/>
      <c r="J328" s="54"/>
      <c r="K328" s="18"/>
      <c r="L328" s="18"/>
    </row>
    <row r="329" spans="1:12" ht="21.9" customHeight="1">
      <c r="A329" s="50"/>
      <c r="B329" s="18"/>
      <c r="D329" s="18"/>
      <c r="E329" s="18"/>
      <c r="F329" s="18"/>
      <c r="G329" s="18"/>
      <c r="H329" s="274"/>
      <c r="I329" s="18"/>
      <c r="J329" s="54"/>
      <c r="K329" s="18"/>
      <c r="L329" s="18"/>
    </row>
    <row r="330" spans="1:12" ht="21.9" customHeight="1">
      <c r="A330" s="50"/>
      <c r="B330" s="18"/>
      <c r="D330" s="18"/>
      <c r="E330" s="18"/>
      <c r="F330" s="18"/>
      <c r="G330" s="18"/>
      <c r="H330" s="274"/>
      <c r="I330" s="18"/>
      <c r="J330" s="54"/>
      <c r="K330" s="18"/>
      <c r="L330" s="18"/>
    </row>
    <row r="331" spans="1:12" ht="21.9" customHeight="1">
      <c r="A331" s="50"/>
      <c r="B331" s="18"/>
      <c r="D331" s="18"/>
      <c r="E331" s="18"/>
      <c r="F331" s="18"/>
      <c r="G331" s="18"/>
      <c r="H331" s="274"/>
      <c r="I331" s="18"/>
      <c r="J331" s="54"/>
      <c r="K331" s="18"/>
      <c r="L331" s="18"/>
    </row>
    <row r="332" spans="1:12" ht="21.9" customHeight="1">
      <c r="A332" s="50"/>
      <c r="B332" s="18"/>
      <c r="D332" s="18"/>
      <c r="E332" s="18"/>
      <c r="F332" s="18"/>
      <c r="G332" s="18"/>
      <c r="H332" s="274"/>
      <c r="I332" s="18"/>
      <c r="J332" s="54"/>
      <c r="K332" s="18"/>
      <c r="L332" s="18"/>
    </row>
    <row r="333" spans="1:12" ht="21.9" customHeight="1">
      <c r="A333" s="50"/>
      <c r="B333" s="18"/>
      <c r="D333" s="18"/>
      <c r="E333" s="18"/>
      <c r="F333" s="18"/>
      <c r="G333" s="18"/>
      <c r="H333" s="274"/>
      <c r="I333" s="18"/>
      <c r="J333" s="54"/>
      <c r="K333" s="18"/>
      <c r="L333" s="18"/>
    </row>
    <row r="334" spans="1:12" ht="21.9" customHeight="1">
      <c r="A334" s="50"/>
      <c r="B334" s="18"/>
      <c r="D334" s="18"/>
      <c r="E334" s="18"/>
      <c r="F334" s="18"/>
      <c r="G334" s="18"/>
      <c r="H334" s="274"/>
      <c r="I334" s="18"/>
      <c r="J334" s="54"/>
      <c r="K334" s="18"/>
      <c r="L334" s="18"/>
    </row>
    <row r="335" spans="1:12" ht="21.9" customHeight="1">
      <c r="A335" s="50"/>
      <c r="B335" s="18"/>
      <c r="D335" s="18"/>
      <c r="E335" s="18"/>
      <c r="F335" s="18"/>
      <c r="G335" s="18"/>
      <c r="H335" s="274"/>
      <c r="I335" s="18"/>
      <c r="J335" s="54"/>
      <c r="K335" s="18"/>
      <c r="L335" s="18"/>
    </row>
    <row r="336" spans="1:12" ht="21.9" customHeight="1">
      <c r="A336" s="50"/>
      <c r="B336" s="18"/>
      <c r="D336" s="18"/>
      <c r="E336" s="18"/>
      <c r="F336" s="18"/>
      <c r="G336" s="18"/>
      <c r="H336" s="274"/>
      <c r="I336" s="18"/>
      <c r="J336" s="54"/>
      <c r="K336" s="18"/>
      <c r="L336" s="18"/>
    </row>
    <row r="337" spans="1:12" ht="21.9" customHeight="1">
      <c r="A337" s="50"/>
      <c r="B337" s="18"/>
      <c r="D337" s="18"/>
      <c r="E337" s="18"/>
      <c r="F337" s="18"/>
      <c r="G337" s="18"/>
      <c r="H337" s="274"/>
      <c r="I337" s="18"/>
      <c r="J337" s="54"/>
      <c r="K337" s="18"/>
      <c r="L337" s="18"/>
    </row>
    <row r="338" spans="1:12" ht="21.9" customHeight="1">
      <c r="A338" s="50"/>
      <c r="B338" s="18"/>
      <c r="D338" s="18"/>
      <c r="E338" s="18"/>
      <c r="F338" s="18"/>
      <c r="G338" s="18"/>
      <c r="H338" s="274"/>
      <c r="I338" s="18"/>
      <c r="J338" s="54"/>
      <c r="K338" s="18"/>
      <c r="L338" s="18"/>
    </row>
    <row r="339" spans="1:12" ht="21.9" customHeight="1">
      <c r="A339" s="50"/>
      <c r="B339" s="18"/>
      <c r="D339" s="18"/>
      <c r="E339" s="18"/>
      <c r="F339" s="18"/>
      <c r="G339" s="18"/>
      <c r="H339" s="274"/>
      <c r="I339" s="18"/>
      <c r="J339" s="54"/>
      <c r="K339" s="18"/>
      <c r="L339" s="18"/>
    </row>
    <row r="340" spans="1:12" ht="21.9" customHeight="1">
      <c r="A340" s="50"/>
      <c r="B340" s="18"/>
      <c r="D340" s="18"/>
      <c r="E340" s="18"/>
      <c r="F340" s="18"/>
      <c r="G340" s="18"/>
      <c r="H340" s="274"/>
      <c r="I340" s="18"/>
      <c r="J340" s="54"/>
      <c r="K340" s="18"/>
      <c r="L340" s="18"/>
    </row>
    <row r="341" spans="1:12" ht="21.9" customHeight="1">
      <c r="A341" s="50"/>
      <c r="B341" s="18"/>
      <c r="D341" s="18"/>
      <c r="E341" s="18"/>
      <c r="F341" s="18"/>
      <c r="G341" s="18"/>
      <c r="H341" s="274"/>
      <c r="I341" s="18"/>
      <c r="J341" s="54"/>
      <c r="K341" s="18"/>
      <c r="L341" s="18"/>
    </row>
    <row r="342" spans="1:12" ht="21.9" customHeight="1">
      <c r="A342" s="50"/>
      <c r="B342" s="18"/>
      <c r="D342" s="18"/>
      <c r="E342" s="18"/>
      <c r="F342" s="18"/>
      <c r="G342" s="18"/>
      <c r="H342" s="274"/>
      <c r="I342" s="18"/>
      <c r="J342" s="54"/>
      <c r="K342" s="18"/>
      <c r="L342" s="18"/>
    </row>
    <row r="343" spans="1:12" ht="21.9" customHeight="1">
      <c r="A343" s="50"/>
      <c r="B343" s="18"/>
      <c r="D343" s="18"/>
      <c r="E343" s="18"/>
      <c r="F343" s="18"/>
      <c r="G343" s="18"/>
      <c r="H343" s="274"/>
      <c r="I343" s="18"/>
      <c r="J343" s="54"/>
      <c r="K343" s="18"/>
      <c r="L343" s="18"/>
    </row>
    <row r="344" spans="1:12" ht="21.9" customHeight="1">
      <c r="A344" s="50"/>
      <c r="B344" s="18"/>
      <c r="D344" s="18"/>
      <c r="E344" s="18"/>
      <c r="F344" s="18"/>
      <c r="G344" s="18"/>
      <c r="H344" s="274"/>
      <c r="I344" s="18"/>
      <c r="J344" s="54"/>
      <c r="K344" s="18"/>
      <c r="L344" s="18"/>
    </row>
    <row r="345" spans="1:12" ht="21.9" customHeight="1">
      <c r="A345" s="50"/>
      <c r="B345" s="18"/>
      <c r="D345" s="18"/>
      <c r="E345" s="18"/>
      <c r="F345" s="18"/>
      <c r="G345" s="18"/>
      <c r="H345" s="274"/>
      <c r="I345" s="18"/>
      <c r="J345" s="54"/>
      <c r="K345" s="18"/>
      <c r="L345" s="18"/>
    </row>
    <row r="346" spans="1:12" ht="21.9" customHeight="1">
      <c r="A346" s="50"/>
      <c r="B346" s="18"/>
      <c r="D346" s="18"/>
      <c r="E346" s="18"/>
      <c r="F346" s="18"/>
      <c r="G346" s="18"/>
      <c r="H346" s="274"/>
      <c r="I346" s="18"/>
      <c r="J346" s="54"/>
      <c r="K346" s="18"/>
      <c r="L346" s="18"/>
    </row>
    <row r="347" spans="1:12" ht="21.9" customHeight="1">
      <c r="A347" s="50"/>
      <c r="B347" s="18"/>
      <c r="D347" s="18"/>
      <c r="E347" s="18"/>
      <c r="F347" s="18"/>
      <c r="G347" s="18"/>
      <c r="H347" s="274"/>
      <c r="I347" s="18"/>
      <c r="J347" s="54"/>
      <c r="K347" s="18"/>
      <c r="L347" s="18"/>
    </row>
    <row r="348" spans="1:12" ht="21.9" customHeight="1">
      <c r="A348" s="50"/>
      <c r="B348" s="18"/>
      <c r="D348" s="18"/>
      <c r="E348" s="18"/>
      <c r="F348" s="18"/>
      <c r="G348" s="18"/>
      <c r="H348" s="274"/>
      <c r="I348" s="18"/>
      <c r="J348" s="54"/>
      <c r="K348" s="18"/>
      <c r="L348" s="18"/>
    </row>
    <row r="349" spans="1:12" ht="21.9" customHeight="1">
      <c r="A349" s="50"/>
      <c r="B349" s="18"/>
      <c r="D349" s="18"/>
      <c r="E349" s="18"/>
      <c r="F349" s="18"/>
      <c r="G349" s="18"/>
      <c r="H349" s="274"/>
      <c r="I349" s="18"/>
      <c r="J349" s="54"/>
      <c r="K349" s="18"/>
      <c r="L349" s="18"/>
    </row>
    <row r="350" spans="1:12" ht="21.9" customHeight="1">
      <c r="A350" s="50"/>
      <c r="B350" s="18"/>
      <c r="D350" s="18"/>
      <c r="E350" s="18"/>
      <c r="F350" s="18"/>
      <c r="G350" s="18"/>
      <c r="H350" s="274"/>
      <c r="I350" s="18"/>
      <c r="J350" s="54"/>
      <c r="K350" s="18"/>
      <c r="L350" s="18"/>
    </row>
    <row r="351" spans="1:12" ht="21.9" customHeight="1">
      <c r="A351" s="50"/>
      <c r="B351" s="18"/>
      <c r="D351" s="18"/>
      <c r="E351" s="18"/>
      <c r="F351" s="18"/>
      <c r="G351" s="18"/>
      <c r="H351" s="274"/>
      <c r="I351" s="18"/>
      <c r="J351" s="54"/>
      <c r="K351" s="18"/>
      <c r="L351" s="18"/>
    </row>
    <row r="352" spans="1:12" ht="21.9" customHeight="1">
      <c r="A352" s="50"/>
      <c r="B352" s="18"/>
      <c r="D352" s="18"/>
      <c r="E352" s="18"/>
      <c r="F352" s="18"/>
      <c r="G352" s="18"/>
      <c r="H352" s="274"/>
      <c r="I352" s="18"/>
      <c r="J352" s="54"/>
      <c r="K352" s="18"/>
      <c r="L352" s="18"/>
    </row>
    <row r="353" spans="1:12" ht="21.9" customHeight="1">
      <c r="A353" s="50"/>
      <c r="B353" s="18"/>
      <c r="D353" s="18"/>
      <c r="E353" s="18"/>
      <c r="F353" s="18"/>
      <c r="G353" s="18"/>
      <c r="H353" s="274"/>
      <c r="I353" s="18"/>
      <c r="J353" s="54"/>
      <c r="K353" s="18"/>
      <c r="L353" s="18"/>
    </row>
    <row r="354" spans="1:12" ht="21.9" customHeight="1">
      <c r="A354" s="50"/>
      <c r="B354" s="18"/>
      <c r="D354" s="18"/>
      <c r="E354" s="18"/>
      <c r="F354" s="18"/>
      <c r="G354" s="18"/>
      <c r="H354" s="274"/>
      <c r="I354" s="18"/>
      <c r="J354" s="54"/>
      <c r="K354" s="18"/>
      <c r="L354" s="18"/>
    </row>
    <row r="355" spans="1:12" ht="21.9" customHeight="1">
      <c r="A355" s="50"/>
      <c r="B355" s="18"/>
      <c r="D355" s="18"/>
      <c r="E355" s="18"/>
      <c r="F355" s="18"/>
      <c r="G355" s="18"/>
      <c r="H355" s="274"/>
      <c r="I355" s="18"/>
      <c r="J355" s="54"/>
      <c r="K355" s="18"/>
      <c r="L355" s="18"/>
    </row>
    <row r="356" spans="1:12" ht="21.9" customHeight="1">
      <c r="A356" s="50"/>
      <c r="B356" s="18"/>
      <c r="D356" s="18"/>
      <c r="E356" s="18"/>
      <c r="F356" s="18"/>
      <c r="G356" s="18"/>
      <c r="H356" s="274"/>
      <c r="I356" s="18"/>
      <c r="J356" s="54"/>
      <c r="K356" s="18"/>
      <c r="L356" s="18"/>
    </row>
    <row r="357" spans="1:12" ht="21.9" customHeight="1">
      <c r="A357" s="50"/>
      <c r="B357" s="18"/>
      <c r="D357" s="18"/>
      <c r="E357" s="18"/>
      <c r="F357" s="18"/>
      <c r="G357" s="18"/>
      <c r="H357" s="274"/>
      <c r="I357" s="18"/>
      <c r="J357" s="54"/>
      <c r="K357" s="18"/>
      <c r="L357" s="18"/>
    </row>
    <row r="358" spans="1:12" ht="21.9" customHeight="1">
      <c r="A358" s="50"/>
      <c r="B358" s="18"/>
      <c r="D358" s="18"/>
      <c r="E358" s="18"/>
      <c r="F358" s="18"/>
      <c r="G358" s="18"/>
      <c r="H358" s="274"/>
      <c r="I358" s="18"/>
      <c r="J358" s="54"/>
      <c r="K358" s="18"/>
      <c r="L358" s="18"/>
    </row>
    <row r="359" spans="1:12" ht="21.9" customHeight="1">
      <c r="A359" s="50"/>
      <c r="B359" s="18"/>
      <c r="D359" s="18"/>
      <c r="E359" s="18"/>
      <c r="F359" s="18"/>
      <c r="G359" s="18"/>
      <c r="H359" s="274"/>
      <c r="I359" s="18"/>
      <c r="J359" s="54"/>
      <c r="K359" s="18"/>
      <c r="L359" s="18"/>
    </row>
    <row r="360" spans="1:12" ht="21.9" customHeight="1">
      <c r="A360" s="50"/>
      <c r="B360" s="18"/>
      <c r="D360" s="18"/>
      <c r="E360" s="18"/>
      <c r="F360" s="18"/>
      <c r="G360" s="18"/>
      <c r="H360" s="274"/>
      <c r="I360" s="18"/>
      <c r="J360" s="54"/>
      <c r="K360" s="18"/>
      <c r="L360" s="18"/>
    </row>
    <row r="361" spans="1:12" ht="21.9" customHeight="1">
      <c r="A361" s="50"/>
      <c r="B361" s="18"/>
      <c r="D361" s="18"/>
      <c r="E361" s="18"/>
      <c r="F361" s="18"/>
      <c r="G361" s="18"/>
      <c r="H361" s="274"/>
      <c r="I361" s="18"/>
      <c r="J361" s="54"/>
      <c r="K361" s="18"/>
      <c r="L361" s="18"/>
    </row>
    <row r="362" spans="1:12" ht="21.9" customHeight="1">
      <c r="A362" s="50"/>
      <c r="B362" s="18"/>
      <c r="D362" s="18"/>
      <c r="E362" s="18"/>
      <c r="F362" s="18"/>
      <c r="G362" s="18"/>
      <c r="H362" s="274"/>
      <c r="I362" s="18"/>
      <c r="J362" s="54"/>
      <c r="K362" s="18"/>
      <c r="L362" s="18"/>
    </row>
    <row r="363" spans="1:12" ht="21.9" customHeight="1">
      <c r="A363" s="50"/>
      <c r="B363" s="18"/>
      <c r="D363" s="18"/>
      <c r="E363" s="18"/>
      <c r="F363" s="18"/>
      <c r="G363" s="18"/>
      <c r="H363" s="274"/>
      <c r="I363" s="18"/>
      <c r="J363" s="54"/>
      <c r="K363" s="18"/>
      <c r="L363" s="18"/>
    </row>
    <row r="364" spans="1:12" ht="21.9" customHeight="1">
      <c r="A364" s="50"/>
      <c r="B364" s="18"/>
      <c r="D364" s="18"/>
      <c r="E364" s="18"/>
      <c r="F364" s="18"/>
      <c r="G364" s="18"/>
      <c r="H364" s="274"/>
      <c r="I364" s="18"/>
      <c r="J364" s="54"/>
      <c r="K364" s="18"/>
      <c r="L364" s="18"/>
    </row>
    <row r="365" spans="1:12" ht="21.9" customHeight="1">
      <c r="A365" s="50"/>
      <c r="B365" s="18"/>
      <c r="D365" s="18"/>
      <c r="E365" s="18"/>
      <c r="F365" s="18"/>
      <c r="G365" s="18"/>
      <c r="H365" s="274"/>
      <c r="I365" s="18"/>
      <c r="J365" s="54"/>
      <c r="K365" s="18"/>
      <c r="L365" s="18"/>
    </row>
    <row r="366" spans="1:12" ht="21.9" customHeight="1">
      <c r="A366" s="50"/>
      <c r="B366" s="18"/>
      <c r="D366" s="18"/>
      <c r="E366" s="18"/>
      <c r="F366" s="18"/>
      <c r="G366" s="18"/>
      <c r="H366" s="274"/>
      <c r="I366" s="18"/>
      <c r="J366" s="54"/>
      <c r="K366" s="18"/>
      <c r="L366" s="18"/>
    </row>
    <row r="367" spans="1:12" ht="21.9" customHeight="1">
      <c r="A367" s="50"/>
      <c r="B367" s="18"/>
      <c r="D367" s="18"/>
      <c r="E367" s="18"/>
      <c r="F367" s="18"/>
      <c r="G367" s="18"/>
      <c r="H367" s="274"/>
      <c r="I367" s="18"/>
      <c r="J367" s="54"/>
      <c r="K367" s="18"/>
      <c r="L367" s="18"/>
    </row>
    <row r="368" spans="1:12" ht="21.9" customHeight="1">
      <c r="A368" s="50"/>
      <c r="B368" s="18"/>
      <c r="D368" s="18"/>
      <c r="E368" s="18"/>
      <c r="F368" s="18"/>
      <c r="G368" s="18"/>
      <c r="H368" s="274"/>
      <c r="I368" s="18"/>
      <c r="J368" s="54"/>
      <c r="K368" s="18"/>
      <c r="L368" s="18"/>
    </row>
    <row r="369" spans="1:12" ht="21.9" customHeight="1">
      <c r="A369" s="50"/>
      <c r="B369" s="18"/>
      <c r="D369" s="18"/>
      <c r="E369" s="18"/>
      <c r="F369" s="18"/>
      <c r="G369" s="18"/>
      <c r="H369" s="274"/>
      <c r="I369" s="18"/>
      <c r="J369" s="54"/>
      <c r="K369" s="18"/>
      <c r="L369" s="18"/>
    </row>
    <row r="370" spans="1:12" ht="21.9" customHeight="1">
      <c r="A370" s="50"/>
      <c r="B370" s="18"/>
      <c r="D370" s="18"/>
      <c r="E370" s="18"/>
      <c r="F370" s="18"/>
      <c r="G370" s="18"/>
      <c r="H370" s="274"/>
      <c r="I370" s="18"/>
      <c r="J370" s="54"/>
      <c r="K370" s="18"/>
      <c r="L370" s="18"/>
    </row>
    <row r="371" spans="1:12" ht="21.9" customHeight="1">
      <c r="A371" s="50"/>
      <c r="B371" s="18"/>
      <c r="D371" s="18"/>
      <c r="E371" s="18"/>
      <c r="F371" s="18"/>
      <c r="G371" s="18"/>
      <c r="H371" s="274"/>
      <c r="I371" s="18"/>
      <c r="J371" s="54"/>
      <c r="K371" s="18"/>
      <c r="L371" s="18"/>
    </row>
    <row r="372" spans="1:12" ht="21.9" customHeight="1">
      <c r="A372" s="50"/>
      <c r="B372" s="18"/>
      <c r="D372" s="18"/>
      <c r="E372" s="18"/>
      <c r="F372" s="18"/>
      <c r="G372" s="18"/>
      <c r="H372" s="274"/>
      <c r="I372" s="18"/>
      <c r="J372" s="54"/>
      <c r="K372" s="18"/>
      <c r="L372" s="18"/>
    </row>
    <row r="373" spans="1:12" ht="21.9" customHeight="1">
      <c r="A373" s="50"/>
      <c r="B373" s="18"/>
      <c r="D373" s="18"/>
      <c r="E373" s="18"/>
      <c r="F373" s="18"/>
      <c r="G373" s="18"/>
      <c r="H373" s="274"/>
      <c r="I373" s="18"/>
      <c r="J373" s="54"/>
      <c r="K373" s="18"/>
      <c r="L373" s="18"/>
    </row>
    <row r="374" spans="1:12" ht="21.9" customHeight="1">
      <c r="A374" s="50"/>
      <c r="B374" s="18"/>
      <c r="D374" s="18"/>
      <c r="E374" s="18"/>
      <c r="F374" s="18"/>
      <c r="G374" s="18"/>
      <c r="H374" s="274"/>
      <c r="I374" s="18"/>
      <c r="J374" s="54"/>
      <c r="K374" s="18"/>
      <c r="L374" s="18"/>
    </row>
    <row r="375" spans="1:12" ht="21.9" customHeight="1">
      <c r="A375" s="50"/>
      <c r="B375" s="18"/>
      <c r="D375" s="18"/>
      <c r="E375" s="18"/>
      <c r="F375" s="18"/>
      <c r="G375" s="18"/>
      <c r="H375" s="274"/>
      <c r="I375" s="18"/>
      <c r="J375" s="54"/>
      <c r="K375" s="18"/>
      <c r="L375" s="18"/>
    </row>
    <row r="376" spans="1:12" ht="21.9" customHeight="1">
      <c r="A376" s="50"/>
      <c r="B376" s="18"/>
      <c r="D376" s="18"/>
      <c r="E376" s="18"/>
      <c r="F376" s="18"/>
      <c r="G376" s="18"/>
      <c r="H376" s="274"/>
      <c r="I376" s="18"/>
      <c r="J376" s="54"/>
      <c r="K376" s="18"/>
      <c r="L376" s="18"/>
    </row>
    <row r="377" spans="1:12" ht="21.9" customHeight="1">
      <c r="A377" s="50"/>
      <c r="B377" s="18"/>
      <c r="D377" s="18"/>
      <c r="E377" s="18"/>
      <c r="F377" s="18"/>
      <c r="G377" s="18"/>
      <c r="H377" s="274"/>
      <c r="I377" s="18"/>
      <c r="J377" s="54"/>
      <c r="K377" s="18"/>
      <c r="L377" s="18"/>
    </row>
    <row r="378" spans="1:12" ht="21.9" customHeight="1">
      <c r="A378" s="50"/>
      <c r="B378" s="18"/>
      <c r="D378" s="18"/>
      <c r="E378" s="18"/>
      <c r="F378" s="18"/>
      <c r="G378" s="18"/>
      <c r="H378" s="274"/>
      <c r="I378" s="18"/>
      <c r="J378" s="54"/>
      <c r="K378" s="18"/>
      <c r="L378" s="18"/>
    </row>
    <row r="379" spans="1:12" ht="21.9" customHeight="1">
      <c r="A379" s="50"/>
      <c r="B379" s="18"/>
      <c r="D379" s="18"/>
      <c r="E379" s="18"/>
      <c r="F379" s="18"/>
      <c r="G379" s="18"/>
      <c r="H379" s="274"/>
      <c r="I379" s="18"/>
      <c r="J379" s="54"/>
      <c r="K379" s="18"/>
      <c r="L379" s="18"/>
    </row>
    <row r="380" spans="1:12" ht="21.9" customHeight="1">
      <c r="A380" s="50"/>
      <c r="B380" s="18"/>
      <c r="D380" s="18"/>
      <c r="E380" s="18"/>
      <c r="F380" s="18"/>
      <c r="G380" s="18"/>
      <c r="H380" s="274"/>
      <c r="I380" s="18"/>
      <c r="J380" s="54"/>
      <c r="K380" s="18"/>
      <c r="L380" s="18"/>
    </row>
    <row r="381" spans="1:12" ht="21.9" customHeight="1">
      <c r="A381" s="50"/>
      <c r="B381" s="18"/>
      <c r="D381" s="18"/>
      <c r="E381" s="18"/>
      <c r="F381" s="18"/>
      <c r="G381" s="18"/>
      <c r="H381" s="274"/>
      <c r="I381" s="18"/>
      <c r="J381" s="54"/>
      <c r="K381" s="18"/>
      <c r="L381" s="18"/>
    </row>
    <row r="382" spans="1:12" ht="21.9" customHeight="1">
      <c r="A382" s="50"/>
      <c r="B382" s="18"/>
      <c r="D382" s="18"/>
      <c r="E382" s="18"/>
      <c r="F382" s="18"/>
      <c r="G382" s="18"/>
      <c r="H382" s="274"/>
      <c r="I382" s="18"/>
      <c r="J382" s="54"/>
      <c r="K382" s="18"/>
      <c r="L382" s="18"/>
    </row>
    <row r="383" spans="1:12" ht="21.9" customHeight="1">
      <c r="A383" s="50"/>
      <c r="B383" s="18"/>
      <c r="D383" s="18"/>
      <c r="E383" s="18"/>
      <c r="F383" s="18"/>
      <c r="G383" s="18"/>
      <c r="H383" s="274"/>
      <c r="I383" s="18"/>
      <c r="J383" s="54"/>
      <c r="K383" s="18"/>
      <c r="L383" s="18"/>
    </row>
    <row r="384" spans="1:12" ht="21.9" customHeight="1">
      <c r="A384" s="50"/>
      <c r="B384" s="18"/>
      <c r="D384" s="18"/>
      <c r="E384" s="18"/>
      <c r="F384" s="18"/>
      <c r="G384" s="18"/>
      <c r="H384" s="274"/>
      <c r="I384" s="18"/>
      <c r="J384" s="54"/>
      <c r="K384" s="18"/>
      <c r="L384" s="18"/>
    </row>
    <row r="385" spans="1:12" ht="21.9" customHeight="1">
      <c r="A385" s="50"/>
      <c r="B385" s="18"/>
      <c r="D385" s="18"/>
      <c r="E385" s="18"/>
      <c r="F385" s="18"/>
      <c r="G385" s="18"/>
      <c r="H385" s="274"/>
      <c r="I385" s="18"/>
      <c r="J385" s="54"/>
      <c r="K385" s="18"/>
      <c r="L385" s="18"/>
    </row>
    <row r="386" spans="1:12" ht="21.9" customHeight="1">
      <c r="A386" s="50"/>
      <c r="B386" s="18"/>
      <c r="D386" s="18"/>
      <c r="E386" s="18"/>
      <c r="F386" s="18"/>
      <c r="G386" s="18"/>
      <c r="H386" s="274"/>
      <c r="I386" s="18"/>
      <c r="J386" s="54"/>
      <c r="K386" s="18"/>
      <c r="L386" s="18"/>
    </row>
    <row r="387" spans="1:12">
      <c r="A387" s="50"/>
      <c r="B387" s="18"/>
      <c r="D387" s="18"/>
      <c r="E387" s="18"/>
      <c r="F387" s="18"/>
      <c r="G387" s="18"/>
      <c r="H387" s="274"/>
      <c r="I387" s="18"/>
      <c r="J387" s="54"/>
      <c r="K387" s="18"/>
      <c r="L387" s="18"/>
    </row>
    <row r="388" spans="1:12">
      <c r="A388" s="50"/>
      <c r="B388" s="18"/>
      <c r="D388" s="18"/>
      <c r="E388" s="18"/>
      <c r="F388" s="18"/>
      <c r="G388" s="18"/>
      <c r="H388" s="274"/>
      <c r="I388" s="18"/>
      <c r="J388" s="54"/>
      <c r="K388" s="18"/>
      <c r="L388" s="18"/>
    </row>
    <row r="389" spans="1:12">
      <c r="A389" s="50"/>
      <c r="B389" s="18"/>
      <c r="D389" s="18"/>
      <c r="E389" s="18"/>
      <c r="F389" s="18"/>
      <c r="G389" s="18"/>
      <c r="H389" s="274"/>
      <c r="I389" s="18"/>
      <c r="J389" s="54"/>
      <c r="K389" s="18"/>
      <c r="L389" s="18"/>
    </row>
    <row r="390" spans="1:12">
      <c r="A390" s="50"/>
      <c r="B390" s="18"/>
      <c r="D390" s="18"/>
      <c r="E390" s="18"/>
      <c r="F390" s="18"/>
      <c r="G390" s="18"/>
      <c r="H390" s="274"/>
      <c r="I390" s="18"/>
      <c r="J390" s="54"/>
      <c r="K390" s="18"/>
      <c r="L390" s="18"/>
    </row>
    <row r="391" spans="1:12">
      <c r="A391" s="50"/>
      <c r="B391" s="18"/>
      <c r="D391" s="18"/>
      <c r="E391" s="18"/>
      <c r="F391" s="18"/>
      <c r="G391" s="18"/>
      <c r="H391" s="274"/>
      <c r="I391" s="18"/>
      <c r="J391" s="54"/>
      <c r="K391" s="18"/>
      <c r="L391" s="18"/>
    </row>
    <row r="392" spans="1:12">
      <c r="A392" s="50"/>
      <c r="B392" s="18"/>
      <c r="D392" s="18"/>
      <c r="E392" s="18"/>
      <c r="F392" s="18"/>
      <c r="G392" s="18"/>
      <c r="H392" s="274"/>
      <c r="I392" s="18"/>
      <c r="J392" s="54"/>
      <c r="K392" s="18"/>
      <c r="L392" s="18"/>
    </row>
    <row r="393" spans="1:12">
      <c r="A393" s="50"/>
      <c r="B393" s="18"/>
      <c r="D393" s="18"/>
      <c r="E393" s="18"/>
      <c r="F393" s="18"/>
      <c r="G393" s="18"/>
      <c r="H393" s="274"/>
      <c r="I393" s="18"/>
      <c r="J393" s="54"/>
      <c r="K393" s="18"/>
      <c r="L393" s="18"/>
    </row>
    <row r="394" spans="1:12">
      <c r="A394" s="50"/>
      <c r="B394" s="18"/>
      <c r="D394" s="18"/>
      <c r="E394" s="18"/>
      <c r="F394" s="18"/>
      <c r="G394" s="18"/>
      <c r="H394" s="274"/>
      <c r="I394" s="18"/>
      <c r="J394" s="54"/>
      <c r="K394" s="18"/>
      <c r="L394" s="18"/>
    </row>
    <row r="395" spans="1:12">
      <c r="A395" s="50"/>
      <c r="B395" s="18"/>
      <c r="D395" s="18"/>
      <c r="E395" s="18"/>
      <c r="F395" s="18"/>
      <c r="G395" s="18"/>
      <c r="H395" s="274"/>
      <c r="I395" s="18"/>
      <c r="J395" s="54"/>
      <c r="K395" s="18"/>
      <c r="L395" s="18"/>
    </row>
    <row r="396" spans="1:12">
      <c r="A396" s="50"/>
      <c r="B396" s="18"/>
      <c r="D396" s="18"/>
      <c r="E396" s="18"/>
      <c r="F396" s="18"/>
      <c r="G396" s="18"/>
      <c r="H396" s="274"/>
      <c r="I396" s="18"/>
      <c r="J396" s="54"/>
      <c r="K396" s="18"/>
      <c r="L396" s="18"/>
    </row>
    <row r="397" spans="1:12">
      <c r="A397" s="50"/>
      <c r="B397" s="18"/>
      <c r="D397" s="18"/>
      <c r="E397" s="18"/>
      <c r="F397" s="18"/>
      <c r="G397" s="18"/>
      <c r="H397" s="274"/>
      <c r="I397" s="18"/>
      <c r="J397" s="54"/>
      <c r="K397" s="18"/>
      <c r="L397" s="18"/>
    </row>
    <row r="398" spans="1:12">
      <c r="A398" s="50"/>
      <c r="B398" s="18"/>
      <c r="D398" s="18"/>
      <c r="E398" s="18"/>
      <c r="F398" s="18"/>
      <c r="G398" s="18"/>
      <c r="H398" s="274"/>
      <c r="I398" s="18"/>
      <c r="J398" s="54"/>
      <c r="K398" s="18"/>
      <c r="L398" s="18"/>
    </row>
    <row r="399" spans="1:12">
      <c r="A399" s="50"/>
      <c r="B399" s="18"/>
      <c r="D399" s="18"/>
      <c r="E399" s="18"/>
      <c r="F399" s="18"/>
      <c r="G399" s="18"/>
      <c r="H399" s="274"/>
      <c r="I399" s="18"/>
      <c r="J399" s="54"/>
      <c r="K399" s="18"/>
      <c r="L399" s="18"/>
    </row>
    <row r="400" spans="1:12">
      <c r="A400" s="50"/>
      <c r="B400" s="18"/>
      <c r="D400" s="18"/>
      <c r="E400" s="18"/>
      <c r="F400" s="18"/>
      <c r="G400" s="18"/>
      <c r="H400" s="274"/>
      <c r="I400" s="18"/>
      <c r="J400" s="54"/>
      <c r="K400" s="18"/>
      <c r="L400" s="18"/>
    </row>
    <row r="401" spans="1:12">
      <c r="A401" s="50"/>
      <c r="B401" s="18"/>
      <c r="D401" s="18"/>
      <c r="E401" s="18"/>
      <c r="F401" s="18"/>
      <c r="G401" s="18"/>
      <c r="H401" s="274"/>
      <c r="I401" s="18"/>
      <c r="J401" s="54"/>
      <c r="K401" s="18"/>
      <c r="L401" s="18"/>
    </row>
    <row r="402" spans="1:12">
      <c r="A402" s="50"/>
      <c r="B402" s="18"/>
      <c r="D402" s="18"/>
      <c r="E402" s="18"/>
      <c r="F402" s="18"/>
      <c r="G402" s="18"/>
      <c r="H402" s="274"/>
      <c r="I402" s="18"/>
      <c r="J402" s="54"/>
      <c r="K402" s="18"/>
      <c r="L402" s="18"/>
    </row>
    <row r="403" spans="1:12">
      <c r="A403" s="50"/>
      <c r="B403" s="18"/>
      <c r="D403" s="18"/>
      <c r="E403" s="18"/>
      <c r="F403" s="18"/>
      <c r="G403" s="18"/>
      <c r="H403" s="274"/>
      <c r="I403" s="18"/>
      <c r="J403" s="54"/>
      <c r="K403" s="18"/>
      <c r="L403" s="18"/>
    </row>
    <row r="404" spans="1:12">
      <c r="A404" s="50"/>
      <c r="B404" s="18"/>
      <c r="D404" s="18"/>
      <c r="E404" s="18"/>
      <c r="F404" s="18"/>
      <c r="G404" s="18"/>
      <c r="H404" s="274"/>
      <c r="I404" s="18"/>
      <c r="J404" s="54"/>
      <c r="K404" s="18"/>
      <c r="L404" s="18"/>
    </row>
    <row r="405" spans="1:12">
      <c r="A405" s="50"/>
      <c r="B405" s="18"/>
      <c r="D405" s="18"/>
      <c r="E405" s="18"/>
      <c r="F405" s="18"/>
      <c r="G405" s="18"/>
      <c r="H405" s="274"/>
      <c r="I405" s="18"/>
      <c r="J405" s="54"/>
      <c r="K405" s="18"/>
      <c r="L405" s="18"/>
    </row>
    <row r="406" spans="1:12">
      <c r="A406" s="50"/>
      <c r="B406" s="18"/>
      <c r="D406" s="18"/>
      <c r="E406" s="18"/>
      <c r="F406" s="18"/>
      <c r="G406" s="18"/>
      <c r="H406" s="274"/>
      <c r="I406" s="18"/>
      <c r="J406" s="54"/>
      <c r="K406" s="18"/>
      <c r="L406" s="18"/>
    </row>
    <row r="407" spans="1:12">
      <c r="A407" s="50"/>
      <c r="B407" s="18"/>
      <c r="D407" s="18"/>
      <c r="E407" s="18"/>
      <c r="F407" s="18"/>
      <c r="G407" s="18"/>
      <c r="H407" s="274"/>
      <c r="I407" s="18"/>
      <c r="J407" s="54"/>
      <c r="K407" s="18"/>
      <c r="L407" s="18"/>
    </row>
    <row r="408" spans="1:12">
      <c r="A408" s="50"/>
      <c r="B408" s="18"/>
      <c r="D408" s="18"/>
      <c r="E408" s="18"/>
      <c r="F408" s="18"/>
      <c r="G408" s="18"/>
      <c r="H408" s="274"/>
      <c r="I408" s="18"/>
      <c r="J408" s="54"/>
      <c r="K408" s="18"/>
      <c r="L408" s="18"/>
    </row>
    <row r="409" spans="1:12">
      <c r="A409" s="50"/>
      <c r="B409" s="18"/>
      <c r="D409" s="18"/>
      <c r="E409" s="18"/>
      <c r="F409" s="18"/>
      <c r="G409" s="18"/>
      <c r="H409" s="274"/>
      <c r="I409" s="18"/>
      <c r="J409" s="54"/>
      <c r="K409" s="18"/>
      <c r="L409" s="18"/>
    </row>
    <row r="410" spans="1:12">
      <c r="A410" s="50"/>
      <c r="B410" s="18"/>
      <c r="D410" s="18"/>
      <c r="E410" s="18"/>
      <c r="F410" s="18"/>
      <c r="G410" s="18"/>
      <c r="H410" s="274"/>
      <c r="I410" s="18"/>
      <c r="J410" s="54"/>
      <c r="K410" s="18"/>
      <c r="L410" s="18"/>
    </row>
    <row r="411" spans="1:12">
      <c r="A411" s="50"/>
      <c r="B411" s="18"/>
      <c r="D411" s="18"/>
      <c r="E411" s="18"/>
      <c r="F411" s="18"/>
      <c r="G411" s="18"/>
      <c r="H411" s="274"/>
      <c r="I411" s="18"/>
      <c r="J411" s="54"/>
      <c r="K411" s="18"/>
      <c r="L411" s="18"/>
    </row>
    <row r="412" spans="1:12">
      <c r="A412" s="50"/>
      <c r="B412" s="18"/>
      <c r="D412" s="18"/>
      <c r="E412" s="18"/>
      <c r="F412" s="18"/>
      <c r="G412" s="18"/>
      <c r="H412" s="274"/>
      <c r="I412" s="18"/>
      <c r="J412" s="54"/>
      <c r="K412" s="18"/>
      <c r="L412" s="18"/>
    </row>
    <row r="413" spans="1:12">
      <c r="A413" s="50"/>
      <c r="B413" s="18"/>
      <c r="D413" s="18"/>
      <c r="E413" s="18"/>
      <c r="F413" s="18"/>
      <c r="G413" s="18"/>
      <c r="H413" s="274"/>
      <c r="I413" s="18"/>
      <c r="J413" s="54"/>
      <c r="K413" s="18"/>
      <c r="L413" s="18"/>
    </row>
    <row r="414" spans="1:12">
      <c r="A414" s="50"/>
      <c r="B414" s="18"/>
      <c r="D414" s="18"/>
      <c r="E414" s="18"/>
      <c r="F414" s="18"/>
      <c r="G414" s="18"/>
      <c r="H414" s="274"/>
      <c r="I414" s="18"/>
      <c r="J414" s="54"/>
      <c r="K414" s="18"/>
      <c r="L414" s="18"/>
    </row>
    <row r="415" spans="1:12">
      <c r="A415" s="50"/>
      <c r="B415" s="18"/>
      <c r="D415" s="18"/>
      <c r="E415" s="18"/>
      <c r="F415" s="18"/>
      <c r="G415" s="18"/>
      <c r="H415" s="274"/>
      <c r="I415" s="18"/>
      <c r="J415" s="54"/>
      <c r="K415" s="18"/>
      <c r="L415" s="18"/>
    </row>
    <row r="416" spans="1:12">
      <c r="A416" s="50"/>
      <c r="B416" s="18"/>
      <c r="D416" s="18"/>
      <c r="E416" s="18"/>
      <c r="F416" s="18"/>
      <c r="G416" s="18"/>
      <c r="H416" s="274"/>
      <c r="I416" s="18"/>
      <c r="J416" s="54"/>
      <c r="K416" s="18"/>
      <c r="L416" s="18"/>
    </row>
    <row r="417" spans="1:12">
      <c r="A417" s="50"/>
      <c r="B417" s="18"/>
      <c r="D417" s="18"/>
      <c r="E417" s="18"/>
      <c r="F417" s="18"/>
      <c r="G417" s="18"/>
      <c r="H417" s="274"/>
      <c r="I417" s="18"/>
      <c r="J417" s="54"/>
      <c r="K417" s="18"/>
      <c r="L417" s="18"/>
    </row>
    <row r="418" spans="1:12">
      <c r="A418" s="50"/>
      <c r="B418" s="18"/>
      <c r="D418" s="18"/>
      <c r="E418" s="18"/>
      <c r="F418" s="18"/>
      <c r="G418" s="18"/>
      <c r="H418" s="274"/>
      <c r="I418" s="18"/>
      <c r="J418" s="54"/>
      <c r="K418" s="18"/>
      <c r="L418" s="18"/>
    </row>
    <row r="419" spans="1:12">
      <c r="A419" s="50"/>
      <c r="B419" s="18"/>
      <c r="D419" s="18"/>
      <c r="E419" s="18"/>
      <c r="F419" s="18"/>
      <c r="G419" s="18"/>
      <c r="H419" s="274"/>
      <c r="I419" s="18"/>
      <c r="J419" s="54"/>
      <c r="K419" s="18"/>
      <c r="L419" s="18"/>
    </row>
    <row r="420" spans="1:12">
      <c r="A420" s="50"/>
      <c r="B420" s="18"/>
      <c r="D420" s="18"/>
      <c r="E420" s="18"/>
      <c r="F420" s="18"/>
      <c r="G420" s="18"/>
      <c r="H420" s="274"/>
      <c r="I420" s="18"/>
      <c r="J420" s="54"/>
      <c r="K420" s="18"/>
      <c r="L420" s="18"/>
    </row>
    <row r="421" spans="1:12">
      <c r="A421" s="50"/>
      <c r="B421" s="18"/>
      <c r="D421" s="18"/>
      <c r="E421" s="18"/>
      <c r="F421" s="18"/>
      <c r="G421" s="18"/>
      <c r="H421" s="274"/>
      <c r="I421" s="18"/>
      <c r="J421" s="54"/>
      <c r="K421" s="18"/>
      <c r="L421" s="18"/>
    </row>
    <row r="422" spans="1:12">
      <c r="A422" s="50"/>
      <c r="B422" s="18"/>
      <c r="D422" s="18"/>
      <c r="E422" s="18"/>
      <c r="F422" s="18"/>
      <c r="G422" s="18"/>
      <c r="H422" s="274"/>
      <c r="I422" s="18"/>
      <c r="J422" s="54"/>
      <c r="K422" s="18"/>
      <c r="L422" s="18"/>
    </row>
    <row r="423" spans="1:12">
      <c r="A423" s="50"/>
      <c r="B423" s="18"/>
      <c r="D423" s="18"/>
      <c r="E423" s="18"/>
      <c r="F423" s="18"/>
      <c r="G423" s="18"/>
      <c r="H423" s="274"/>
      <c r="I423" s="18"/>
      <c r="J423" s="54"/>
      <c r="K423" s="18"/>
      <c r="L423" s="18"/>
    </row>
    <row r="424" spans="1:12">
      <c r="A424" s="50"/>
      <c r="B424" s="18"/>
      <c r="D424" s="18"/>
      <c r="E424" s="18"/>
      <c r="F424" s="18"/>
      <c r="G424" s="18"/>
      <c r="H424" s="274"/>
      <c r="I424" s="18"/>
      <c r="J424" s="54"/>
      <c r="K424" s="18"/>
      <c r="L424" s="18"/>
    </row>
    <row r="425" spans="1:12">
      <c r="A425" s="50"/>
      <c r="B425" s="18"/>
      <c r="D425" s="18"/>
      <c r="E425" s="18"/>
      <c r="F425" s="18"/>
      <c r="G425" s="18"/>
      <c r="H425" s="274"/>
      <c r="I425" s="18"/>
      <c r="J425" s="54"/>
      <c r="K425" s="18"/>
      <c r="L425" s="18"/>
    </row>
    <row r="426" spans="1:12">
      <c r="A426" s="50"/>
      <c r="B426" s="18"/>
      <c r="D426" s="18"/>
      <c r="E426" s="18"/>
      <c r="F426" s="18"/>
      <c r="G426" s="18"/>
      <c r="H426" s="274"/>
      <c r="I426" s="18"/>
      <c r="J426" s="54"/>
      <c r="K426" s="18"/>
      <c r="L426" s="18"/>
    </row>
    <row r="427" spans="1:12">
      <c r="A427" s="50"/>
      <c r="B427" s="18"/>
      <c r="D427" s="18"/>
      <c r="E427" s="18"/>
      <c r="F427" s="18"/>
      <c r="G427" s="18"/>
      <c r="H427" s="274"/>
      <c r="I427" s="18"/>
      <c r="J427" s="54"/>
      <c r="K427" s="18"/>
      <c r="L427" s="18"/>
    </row>
    <row r="428" spans="1:12">
      <c r="A428" s="50"/>
      <c r="B428" s="18"/>
      <c r="D428" s="18"/>
      <c r="E428" s="18"/>
      <c r="F428" s="18"/>
      <c r="G428" s="18"/>
      <c r="H428" s="274"/>
      <c r="I428" s="18"/>
      <c r="J428" s="54"/>
      <c r="K428" s="18"/>
      <c r="L428" s="18"/>
    </row>
    <row r="429" spans="1:12">
      <c r="A429" s="50"/>
      <c r="B429" s="18"/>
      <c r="D429" s="18"/>
      <c r="E429" s="18"/>
      <c r="F429" s="18"/>
      <c r="G429" s="18"/>
      <c r="H429" s="274"/>
      <c r="I429" s="18"/>
      <c r="J429" s="54"/>
      <c r="K429" s="18"/>
      <c r="L429" s="18"/>
    </row>
    <row r="430" spans="1:12">
      <c r="A430" s="50"/>
      <c r="B430" s="18"/>
      <c r="D430" s="18"/>
      <c r="E430" s="18"/>
      <c r="F430" s="18"/>
      <c r="G430" s="18"/>
      <c r="H430" s="274"/>
      <c r="I430" s="18"/>
      <c r="J430" s="54"/>
      <c r="K430" s="18"/>
      <c r="L430" s="18"/>
    </row>
    <row r="431" spans="1:12">
      <c r="A431" s="50"/>
      <c r="B431" s="18"/>
      <c r="D431" s="18"/>
      <c r="E431" s="18"/>
      <c r="F431" s="18"/>
      <c r="G431" s="18"/>
      <c r="H431" s="274"/>
      <c r="I431" s="18"/>
      <c r="J431" s="54"/>
      <c r="K431" s="18"/>
      <c r="L431" s="18"/>
    </row>
    <row r="432" spans="1:12">
      <c r="A432" s="50"/>
      <c r="B432" s="18"/>
      <c r="D432" s="18"/>
      <c r="E432" s="18"/>
      <c r="F432" s="18"/>
      <c r="G432" s="18"/>
      <c r="H432" s="274"/>
      <c r="I432" s="18"/>
      <c r="J432" s="54"/>
      <c r="K432" s="18"/>
      <c r="L432" s="18"/>
    </row>
    <row r="433" spans="1:12">
      <c r="A433" s="50"/>
      <c r="B433" s="18"/>
      <c r="D433" s="18"/>
      <c r="E433" s="18"/>
      <c r="F433" s="18"/>
      <c r="G433" s="18"/>
      <c r="H433" s="274"/>
      <c r="I433" s="18"/>
      <c r="J433" s="54"/>
      <c r="K433" s="18"/>
      <c r="L433" s="18"/>
    </row>
    <row r="434" spans="1:12">
      <c r="A434" s="50"/>
      <c r="B434" s="18"/>
      <c r="D434" s="18"/>
      <c r="E434" s="18"/>
      <c r="F434" s="18"/>
      <c r="G434" s="18"/>
      <c r="H434" s="274"/>
      <c r="I434" s="18"/>
      <c r="J434" s="54"/>
      <c r="K434" s="18"/>
      <c r="L434" s="18"/>
    </row>
    <row r="435" spans="1:12">
      <c r="A435" s="50"/>
      <c r="B435" s="18"/>
      <c r="D435" s="18"/>
      <c r="E435" s="18"/>
      <c r="F435" s="18"/>
      <c r="G435" s="18"/>
      <c r="H435" s="274"/>
      <c r="I435" s="18"/>
      <c r="J435" s="54"/>
      <c r="K435" s="18"/>
      <c r="L435" s="18"/>
    </row>
    <row r="436" spans="1:12">
      <c r="A436" s="50"/>
      <c r="B436" s="18"/>
      <c r="D436" s="18"/>
      <c r="E436" s="18"/>
      <c r="F436" s="18"/>
      <c r="G436" s="18"/>
      <c r="H436" s="274"/>
      <c r="I436" s="18"/>
      <c r="J436" s="54"/>
      <c r="K436" s="18"/>
      <c r="L436" s="18"/>
    </row>
    <row r="437" spans="1:12">
      <c r="A437" s="50"/>
      <c r="B437" s="18"/>
      <c r="D437" s="18"/>
      <c r="E437" s="18"/>
      <c r="F437" s="18"/>
      <c r="G437" s="18"/>
      <c r="H437" s="274"/>
      <c r="I437" s="18"/>
      <c r="J437" s="54"/>
      <c r="K437" s="18"/>
      <c r="L437" s="18"/>
    </row>
    <row r="438" spans="1:12">
      <c r="A438" s="50"/>
      <c r="B438" s="18"/>
      <c r="D438" s="18"/>
      <c r="E438" s="18"/>
      <c r="F438" s="18"/>
      <c r="G438" s="18"/>
      <c r="H438" s="274"/>
      <c r="I438" s="18"/>
      <c r="J438" s="54"/>
      <c r="K438" s="18"/>
      <c r="L438" s="18"/>
    </row>
    <row r="439" spans="1:12">
      <c r="A439" s="50"/>
      <c r="B439" s="18"/>
      <c r="D439" s="18"/>
      <c r="E439" s="18"/>
      <c r="F439" s="18"/>
      <c r="G439" s="18"/>
      <c r="H439" s="274"/>
      <c r="I439" s="18"/>
      <c r="J439" s="54"/>
      <c r="K439" s="18"/>
      <c r="L439" s="18"/>
    </row>
    <row r="440" spans="1:12">
      <c r="A440" s="50"/>
      <c r="B440" s="18"/>
      <c r="D440" s="18"/>
      <c r="E440" s="18"/>
      <c r="F440" s="18"/>
      <c r="G440" s="18"/>
      <c r="H440" s="274"/>
      <c r="I440" s="18"/>
      <c r="J440" s="54"/>
      <c r="K440" s="18"/>
      <c r="L440" s="18"/>
    </row>
    <row r="441" spans="1:12">
      <c r="A441" s="50"/>
      <c r="B441" s="18" t="s">
        <v>157</v>
      </c>
      <c r="D441" s="18"/>
      <c r="E441" s="18"/>
      <c r="F441" s="18"/>
      <c r="G441" s="18"/>
      <c r="H441" s="274"/>
      <c r="I441" s="18"/>
      <c r="J441" s="54"/>
      <c r="K441" s="18"/>
      <c r="L441" s="18"/>
    </row>
    <row r="442" spans="1:12">
      <c r="A442" s="50"/>
      <c r="B442" s="18"/>
      <c r="D442" s="18"/>
      <c r="E442" s="18"/>
      <c r="F442" s="18"/>
      <c r="G442" s="18"/>
      <c r="H442" s="274"/>
      <c r="I442" s="18"/>
      <c r="J442" s="54"/>
      <c r="K442" s="18"/>
      <c r="L442" s="18"/>
    </row>
    <row r="443" spans="1:12">
      <c r="A443" s="50"/>
      <c r="B443" s="18"/>
      <c r="D443" s="18"/>
      <c r="E443" s="18"/>
      <c r="F443" s="18"/>
      <c r="G443" s="18"/>
      <c r="H443" s="274"/>
      <c r="I443" s="18"/>
      <c r="J443" s="54"/>
      <c r="K443" s="18"/>
      <c r="L443" s="18"/>
    </row>
    <row r="444" spans="1:12">
      <c r="A444" s="50"/>
      <c r="B444" s="18"/>
      <c r="D444" s="18"/>
      <c r="E444" s="18"/>
      <c r="F444" s="18"/>
      <c r="G444" s="18"/>
      <c r="H444" s="274"/>
      <c r="I444" s="18"/>
      <c r="J444" s="54"/>
      <c r="K444" s="18"/>
      <c r="L444" s="18"/>
    </row>
    <row r="445" spans="1:12">
      <c r="A445" s="50"/>
      <c r="B445" s="18"/>
      <c r="D445" s="18"/>
      <c r="E445" s="18"/>
      <c r="F445" s="18"/>
      <c r="G445" s="18"/>
      <c r="H445" s="274"/>
      <c r="I445" s="18"/>
      <c r="J445" s="54"/>
      <c r="K445" s="18"/>
      <c r="L445" s="18"/>
    </row>
    <row r="446" spans="1:12">
      <c r="A446" s="50"/>
      <c r="B446" s="18"/>
      <c r="D446" s="18"/>
      <c r="E446" s="18"/>
      <c r="F446" s="18"/>
      <c r="G446" s="18"/>
      <c r="H446" s="274"/>
      <c r="I446" s="18"/>
      <c r="J446" s="54"/>
      <c r="K446" s="18"/>
      <c r="L446" s="18"/>
    </row>
    <row r="447" spans="1:12">
      <c r="A447" s="50"/>
      <c r="B447" s="18"/>
      <c r="D447" s="18"/>
      <c r="E447" s="18"/>
      <c r="F447" s="18"/>
      <c r="G447" s="18"/>
      <c r="H447" s="274"/>
      <c r="I447" s="18"/>
      <c r="J447" s="54"/>
      <c r="K447" s="18"/>
      <c r="L447" s="18"/>
    </row>
    <row r="448" spans="1:12">
      <c r="A448" s="50"/>
      <c r="B448" s="18"/>
      <c r="D448" s="18"/>
      <c r="E448" s="18"/>
      <c r="F448" s="18"/>
      <c r="G448" s="18"/>
      <c r="H448" s="274"/>
      <c r="I448" s="18"/>
      <c r="J448" s="54"/>
      <c r="K448" s="18"/>
      <c r="L448" s="18"/>
    </row>
    <row r="449" spans="1:12">
      <c r="A449" s="50"/>
      <c r="B449" s="18"/>
      <c r="D449" s="18"/>
      <c r="E449" s="18"/>
      <c r="F449" s="18"/>
      <c r="G449" s="18"/>
      <c r="H449" s="274"/>
      <c r="I449" s="18"/>
      <c r="J449" s="54"/>
      <c r="K449" s="18"/>
      <c r="L449" s="18"/>
    </row>
    <row r="450" spans="1:12">
      <c r="A450" s="50"/>
      <c r="B450" s="18"/>
      <c r="D450" s="18"/>
      <c r="E450" s="18"/>
      <c r="F450" s="18"/>
      <c r="G450" s="18"/>
      <c r="H450" s="274"/>
      <c r="I450" s="18"/>
      <c r="J450" s="54"/>
      <c r="K450" s="18"/>
      <c r="L450" s="18"/>
    </row>
    <row r="451" spans="1:12">
      <c r="A451" s="50"/>
      <c r="B451" s="18"/>
      <c r="D451" s="18"/>
      <c r="E451" s="18"/>
      <c r="F451" s="18"/>
      <c r="G451" s="18"/>
      <c r="H451" s="274"/>
      <c r="I451" s="18"/>
      <c r="J451" s="54"/>
      <c r="K451" s="18"/>
      <c r="L451" s="18"/>
    </row>
    <row r="452" spans="1:12">
      <c r="A452" s="50"/>
      <c r="B452" s="18"/>
      <c r="D452" s="18"/>
      <c r="E452" s="18"/>
      <c r="F452" s="18"/>
      <c r="G452" s="18"/>
      <c r="H452" s="274"/>
      <c r="I452" s="18"/>
      <c r="J452" s="54"/>
      <c r="K452" s="18"/>
      <c r="L452" s="18"/>
    </row>
    <row r="453" spans="1:12">
      <c r="A453" s="50"/>
      <c r="B453" s="18"/>
      <c r="D453" s="18"/>
      <c r="E453" s="18"/>
      <c r="F453" s="18"/>
      <c r="G453" s="18"/>
      <c r="H453" s="274"/>
      <c r="I453" s="18"/>
      <c r="J453" s="54"/>
      <c r="K453" s="18"/>
      <c r="L453" s="18"/>
    </row>
    <row r="454" spans="1:12">
      <c r="A454" s="50"/>
      <c r="B454" s="18"/>
      <c r="D454" s="18"/>
      <c r="E454" s="18"/>
      <c r="F454" s="18"/>
      <c r="G454" s="18"/>
      <c r="H454" s="274"/>
      <c r="I454" s="18"/>
      <c r="J454" s="54"/>
      <c r="K454" s="18"/>
      <c r="L454" s="18"/>
    </row>
    <row r="455" spans="1:12">
      <c r="A455" s="50"/>
      <c r="B455" s="18"/>
      <c r="D455" s="18"/>
      <c r="E455" s="18"/>
      <c r="F455" s="18"/>
      <c r="G455" s="18"/>
      <c r="H455" s="274"/>
      <c r="I455" s="18"/>
      <c r="J455" s="54"/>
      <c r="K455" s="18"/>
      <c r="L455" s="18"/>
    </row>
    <row r="456" spans="1:12">
      <c r="A456" s="50"/>
      <c r="B456" s="18"/>
      <c r="D456" s="18"/>
      <c r="E456" s="18"/>
      <c r="F456" s="18"/>
      <c r="G456" s="18"/>
      <c r="H456" s="274"/>
      <c r="I456" s="18"/>
      <c r="J456" s="54"/>
      <c r="K456" s="18"/>
      <c r="L456" s="18"/>
    </row>
    <row r="457" spans="1:12">
      <c r="A457" s="50"/>
      <c r="B457" s="18"/>
      <c r="D457" s="18"/>
      <c r="E457" s="18"/>
      <c r="F457" s="18"/>
      <c r="G457" s="18"/>
      <c r="H457" s="274"/>
      <c r="I457" s="18"/>
      <c r="J457" s="54"/>
      <c r="K457" s="18"/>
      <c r="L457" s="18"/>
    </row>
    <row r="458" spans="1:12">
      <c r="A458" s="50"/>
      <c r="B458" s="18"/>
      <c r="D458" s="18"/>
      <c r="E458" s="18"/>
      <c r="F458" s="18"/>
      <c r="G458" s="18"/>
      <c r="H458" s="274"/>
      <c r="I458" s="18"/>
      <c r="J458" s="54"/>
      <c r="K458" s="18"/>
      <c r="L458" s="18"/>
    </row>
    <row r="459" spans="1:12">
      <c r="A459" s="50"/>
      <c r="B459" s="18"/>
      <c r="D459" s="18"/>
      <c r="E459" s="18"/>
      <c r="F459" s="18"/>
      <c r="G459" s="18"/>
      <c r="H459" s="274"/>
      <c r="I459" s="18"/>
      <c r="J459" s="54"/>
      <c r="K459" s="18"/>
      <c r="L459" s="18"/>
    </row>
    <row r="460" spans="1:12">
      <c r="A460" s="50"/>
      <c r="B460" s="18"/>
      <c r="D460" s="18"/>
      <c r="E460" s="18"/>
      <c r="F460" s="18"/>
      <c r="G460" s="18"/>
      <c r="H460" s="274"/>
      <c r="I460" s="18"/>
      <c r="J460" s="54"/>
      <c r="K460" s="18"/>
      <c r="L460" s="18"/>
    </row>
    <row r="461" spans="1:12">
      <c r="A461" s="50"/>
      <c r="B461" s="18"/>
      <c r="D461" s="18"/>
      <c r="E461" s="18"/>
      <c r="F461" s="18"/>
      <c r="G461" s="18"/>
      <c r="H461" s="274"/>
      <c r="I461" s="18"/>
      <c r="J461" s="54"/>
      <c r="K461" s="18"/>
      <c r="L461" s="18"/>
    </row>
    <row r="462" spans="1:12">
      <c r="A462" s="50"/>
      <c r="B462" s="18"/>
      <c r="D462" s="18"/>
      <c r="E462" s="18"/>
      <c r="F462" s="18"/>
      <c r="G462" s="18"/>
      <c r="H462" s="274"/>
      <c r="I462" s="18"/>
      <c r="J462" s="54"/>
      <c r="K462" s="18"/>
      <c r="L462" s="18"/>
    </row>
    <row r="463" spans="1:12">
      <c r="A463" s="50"/>
      <c r="B463" s="18"/>
      <c r="D463" s="18"/>
      <c r="E463" s="18"/>
      <c r="F463" s="18"/>
      <c r="G463" s="18"/>
      <c r="H463" s="274"/>
      <c r="I463" s="18"/>
      <c r="J463" s="54"/>
      <c r="K463" s="18"/>
      <c r="L463" s="18"/>
    </row>
    <row r="464" spans="1:12">
      <c r="A464" s="50"/>
      <c r="B464" s="18"/>
      <c r="D464" s="18"/>
      <c r="E464" s="18"/>
      <c r="F464" s="18"/>
      <c r="G464" s="18"/>
      <c r="H464" s="274"/>
      <c r="I464" s="18"/>
      <c r="J464" s="54"/>
      <c r="K464" s="18"/>
      <c r="L464" s="18"/>
    </row>
    <row r="465" spans="1:12">
      <c r="A465" s="50"/>
      <c r="B465" s="18"/>
      <c r="D465" s="18"/>
      <c r="E465" s="18"/>
      <c r="F465" s="18"/>
      <c r="G465" s="18"/>
      <c r="H465" s="274"/>
      <c r="I465" s="18"/>
      <c r="J465" s="54"/>
      <c r="K465" s="18"/>
      <c r="L465" s="18"/>
    </row>
    <row r="466" spans="1:12">
      <c r="A466" s="50"/>
      <c r="B466" s="18"/>
      <c r="D466" s="18"/>
      <c r="E466" s="18"/>
      <c r="F466" s="18"/>
      <c r="G466" s="18"/>
      <c r="H466" s="274"/>
      <c r="I466" s="18"/>
      <c r="J466" s="54"/>
      <c r="K466" s="18"/>
      <c r="L466" s="18"/>
    </row>
    <row r="467" spans="1:12">
      <c r="A467" s="50"/>
      <c r="B467" s="18"/>
      <c r="D467" s="18"/>
      <c r="E467" s="18"/>
      <c r="F467" s="18"/>
      <c r="G467" s="18"/>
      <c r="H467" s="274"/>
      <c r="I467" s="18"/>
      <c r="J467" s="54"/>
      <c r="K467" s="18"/>
      <c r="L467" s="18"/>
    </row>
    <row r="468" spans="1:12">
      <c r="A468" s="50"/>
      <c r="B468" s="18"/>
      <c r="D468" s="18"/>
      <c r="E468" s="18"/>
      <c r="F468" s="18"/>
      <c r="G468" s="18"/>
      <c r="H468" s="274"/>
      <c r="I468" s="18"/>
      <c r="J468" s="54"/>
      <c r="K468" s="18"/>
      <c r="L468" s="18"/>
    </row>
    <row r="469" spans="1:12">
      <c r="A469" s="50"/>
      <c r="B469" s="18"/>
      <c r="D469" s="18"/>
      <c r="E469" s="18"/>
      <c r="F469" s="18"/>
      <c r="G469" s="18"/>
      <c r="H469" s="274"/>
      <c r="I469" s="18"/>
      <c r="J469" s="54"/>
      <c r="K469" s="18"/>
      <c r="L469" s="18"/>
    </row>
    <row r="470" spans="1:12">
      <c r="A470" s="50"/>
      <c r="B470" s="18"/>
      <c r="D470" s="18"/>
      <c r="E470" s="18"/>
      <c r="F470" s="18"/>
      <c r="G470" s="18"/>
      <c r="H470" s="274"/>
      <c r="I470" s="18"/>
      <c r="J470" s="54"/>
      <c r="K470" s="18"/>
      <c r="L470" s="18"/>
    </row>
    <row r="471" spans="1:12">
      <c r="A471" s="50"/>
      <c r="B471" s="18"/>
      <c r="D471" s="18"/>
      <c r="E471" s="18"/>
      <c r="F471" s="18"/>
      <c r="G471" s="18"/>
      <c r="H471" s="274"/>
      <c r="I471" s="18"/>
      <c r="J471" s="54"/>
      <c r="K471" s="18"/>
      <c r="L471" s="18"/>
    </row>
    <row r="472" spans="1:12">
      <c r="A472" s="50"/>
      <c r="B472" s="18"/>
      <c r="D472" s="18"/>
      <c r="E472" s="18"/>
      <c r="F472" s="18"/>
      <c r="G472" s="18"/>
      <c r="H472" s="274"/>
      <c r="I472" s="18"/>
      <c r="J472" s="54"/>
      <c r="K472" s="18"/>
      <c r="L472" s="18"/>
    </row>
    <row r="473" spans="1:12">
      <c r="A473" s="50"/>
      <c r="B473" s="18"/>
      <c r="D473" s="18"/>
      <c r="E473" s="18"/>
      <c r="F473" s="18"/>
      <c r="G473" s="18"/>
      <c r="H473" s="274"/>
      <c r="I473" s="18"/>
      <c r="J473" s="54"/>
      <c r="K473" s="18"/>
      <c r="L473" s="18"/>
    </row>
    <row r="474" spans="1:12">
      <c r="A474" s="50"/>
      <c r="B474" s="18"/>
      <c r="D474" s="18"/>
      <c r="E474" s="18"/>
      <c r="F474" s="18"/>
      <c r="G474" s="18"/>
      <c r="H474" s="274"/>
      <c r="I474" s="18"/>
      <c r="J474" s="54"/>
      <c r="K474" s="18"/>
      <c r="L474" s="18"/>
    </row>
    <row r="475" spans="1:12">
      <c r="A475" s="50"/>
      <c r="B475" s="18"/>
      <c r="D475" s="18"/>
      <c r="E475" s="18"/>
      <c r="F475" s="18"/>
      <c r="G475" s="18"/>
      <c r="H475" s="274"/>
      <c r="I475" s="18"/>
      <c r="J475" s="54"/>
      <c r="K475" s="18"/>
      <c r="L475" s="18"/>
    </row>
    <row r="476" spans="1:12">
      <c r="A476" s="50"/>
      <c r="B476" s="18"/>
      <c r="D476" s="18"/>
      <c r="E476" s="18"/>
      <c r="F476" s="18"/>
      <c r="G476" s="18"/>
      <c r="H476" s="274"/>
      <c r="I476" s="18"/>
      <c r="J476" s="54"/>
      <c r="K476" s="18"/>
      <c r="L476" s="18"/>
    </row>
    <row r="477" spans="1:12">
      <c r="A477" s="50"/>
      <c r="B477" s="18"/>
      <c r="D477" s="18"/>
      <c r="E477" s="18"/>
      <c r="F477" s="18"/>
      <c r="G477" s="18"/>
      <c r="H477" s="274"/>
      <c r="I477" s="18"/>
      <c r="J477" s="54"/>
      <c r="K477" s="18"/>
      <c r="L477" s="18"/>
    </row>
    <row r="478" spans="1:12">
      <c r="A478" s="50"/>
      <c r="B478" s="18"/>
      <c r="D478" s="18"/>
      <c r="E478" s="18"/>
      <c r="F478" s="18"/>
      <c r="G478" s="18"/>
      <c r="H478" s="274"/>
      <c r="I478" s="18"/>
      <c r="J478" s="54"/>
      <c r="K478" s="18"/>
      <c r="L478" s="18"/>
    </row>
    <row r="479" spans="1:12">
      <c r="A479" s="50"/>
      <c r="B479" s="18"/>
      <c r="D479" s="18"/>
      <c r="E479" s="18"/>
      <c r="F479" s="18"/>
      <c r="G479" s="18"/>
      <c r="H479" s="274"/>
      <c r="I479" s="18"/>
      <c r="J479" s="54"/>
      <c r="K479" s="18"/>
      <c r="L479" s="18"/>
    </row>
    <row r="480" spans="1:12">
      <c r="A480" s="50"/>
      <c r="B480" s="18"/>
      <c r="D480" s="18"/>
      <c r="E480" s="18"/>
      <c r="F480" s="18"/>
      <c r="G480" s="18"/>
      <c r="H480" s="274"/>
      <c r="I480" s="18"/>
      <c r="J480" s="54"/>
      <c r="K480" s="18"/>
      <c r="L480" s="18"/>
    </row>
    <row r="481" spans="1:12">
      <c r="A481" s="50"/>
      <c r="B481" s="18"/>
      <c r="D481" s="18"/>
      <c r="E481" s="18"/>
      <c r="F481" s="18"/>
      <c r="G481" s="18"/>
      <c r="H481" s="274"/>
      <c r="I481" s="18"/>
      <c r="J481" s="54"/>
      <c r="K481" s="18"/>
      <c r="L481" s="18"/>
    </row>
    <row r="482" spans="1:12">
      <c r="A482" s="50"/>
      <c r="B482" s="18"/>
      <c r="D482" s="18"/>
      <c r="E482" s="18"/>
      <c r="F482" s="18"/>
      <c r="G482" s="18"/>
      <c r="H482" s="274"/>
      <c r="I482" s="18"/>
      <c r="J482" s="54"/>
      <c r="K482" s="18"/>
      <c r="L482" s="18"/>
    </row>
    <row r="483" spans="1:12">
      <c r="A483" s="50"/>
      <c r="B483" s="18"/>
      <c r="D483" s="18"/>
      <c r="E483" s="18"/>
      <c r="F483" s="18"/>
      <c r="G483" s="18"/>
      <c r="H483" s="274"/>
      <c r="I483" s="18"/>
      <c r="J483" s="54"/>
      <c r="K483" s="18"/>
      <c r="L483" s="18"/>
    </row>
    <row r="484" spans="1:12">
      <c r="A484" s="50"/>
      <c r="B484" s="18"/>
      <c r="D484" s="18"/>
      <c r="E484" s="18"/>
      <c r="F484" s="18"/>
      <c r="G484" s="18"/>
      <c r="H484" s="274"/>
      <c r="I484" s="18"/>
      <c r="J484" s="54"/>
      <c r="K484" s="18"/>
      <c r="L484" s="18"/>
    </row>
    <row r="485" spans="1:12">
      <c r="A485" s="50"/>
      <c r="B485" s="18"/>
      <c r="D485" s="18"/>
      <c r="E485" s="18"/>
      <c r="F485" s="18"/>
      <c r="G485" s="18"/>
      <c r="H485" s="274"/>
      <c r="I485" s="18"/>
      <c r="J485" s="54"/>
      <c r="K485" s="18"/>
      <c r="L485" s="18"/>
    </row>
    <row r="486" spans="1:12">
      <c r="A486" s="50"/>
      <c r="B486" s="18"/>
      <c r="D486" s="18"/>
      <c r="E486" s="18"/>
      <c r="F486" s="18"/>
      <c r="G486" s="18"/>
      <c r="H486" s="274"/>
      <c r="I486" s="18"/>
      <c r="J486" s="54"/>
      <c r="K486" s="18"/>
      <c r="L486" s="18"/>
    </row>
    <row r="487" spans="1:12">
      <c r="A487" s="50"/>
      <c r="B487" s="18"/>
      <c r="D487" s="18"/>
      <c r="E487" s="18"/>
      <c r="F487" s="18"/>
      <c r="G487" s="18"/>
      <c r="H487" s="274"/>
      <c r="I487" s="18"/>
      <c r="J487" s="54"/>
      <c r="K487" s="18"/>
      <c r="L487" s="18"/>
    </row>
    <row r="488" spans="1:12">
      <c r="A488" s="50"/>
      <c r="B488" s="18"/>
      <c r="D488" s="18"/>
      <c r="E488" s="18"/>
      <c r="F488" s="18"/>
      <c r="G488" s="18"/>
      <c r="H488" s="274"/>
      <c r="I488" s="18"/>
      <c r="J488" s="54"/>
      <c r="K488" s="18"/>
      <c r="L488" s="18"/>
    </row>
    <row r="489" spans="1:12">
      <c r="A489" s="50"/>
      <c r="B489" s="18"/>
      <c r="D489" s="18"/>
      <c r="E489" s="18"/>
      <c r="F489" s="18"/>
      <c r="G489" s="18"/>
      <c r="H489" s="274"/>
      <c r="I489" s="18"/>
      <c r="J489" s="54"/>
      <c r="K489" s="18"/>
      <c r="L489" s="18"/>
    </row>
    <row r="490" spans="1:12">
      <c r="A490" s="50"/>
      <c r="B490" s="18"/>
      <c r="D490" s="18"/>
      <c r="E490" s="18"/>
      <c r="F490" s="18"/>
      <c r="G490" s="18"/>
      <c r="H490" s="274"/>
      <c r="I490" s="18"/>
      <c r="J490" s="54"/>
      <c r="K490" s="18"/>
      <c r="L490" s="18"/>
    </row>
    <row r="491" spans="1:12">
      <c r="A491" s="50"/>
      <c r="B491" s="18"/>
      <c r="D491" s="18"/>
      <c r="E491" s="18"/>
      <c r="F491" s="18"/>
      <c r="G491" s="18"/>
      <c r="H491" s="274"/>
      <c r="I491" s="18"/>
      <c r="J491" s="54"/>
      <c r="K491" s="18"/>
      <c r="L491" s="18"/>
    </row>
    <row r="492" spans="1:12">
      <c r="A492" s="50"/>
      <c r="B492" s="18"/>
      <c r="D492" s="18"/>
      <c r="E492" s="18"/>
      <c r="F492" s="18"/>
      <c r="G492" s="18"/>
      <c r="H492" s="274"/>
      <c r="I492" s="18"/>
      <c r="J492" s="54"/>
      <c r="K492" s="18"/>
      <c r="L492" s="18"/>
    </row>
    <row r="493" spans="1:12">
      <c r="A493" s="50"/>
      <c r="B493" s="18"/>
      <c r="D493" s="18"/>
      <c r="E493" s="18"/>
      <c r="F493" s="18"/>
      <c r="G493" s="18"/>
      <c r="H493" s="274"/>
      <c r="I493" s="18"/>
      <c r="J493" s="54"/>
      <c r="K493" s="18"/>
      <c r="L493" s="18"/>
    </row>
    <row r="494" spans="1:12">
      <c r="A494" s="50"/>
      <c r="B494" s="18"/>
      <c r="D494" s="18"/>
      <c r="E494" s="18"/>
      <c r="F494" s="18"/>
      <c r="G494" s="18"/>
      <c r="H494" s="274"/>
      <c r="I494" s="18"/>
      <c r="J494" s="54"/>
      <c r="K494" s="18"/>
      <c r="L494" s="18"/>
    </row>
    <row r="495" spans="1:12">
      <c r="A495" s="50"/>
      <c r="B495" s="18"/>
      <c r="D495" s="18"/>
      <c r="E495" s="18"/>
      <c r="F495" s="18"/>
      <c r="G495" s="18"/>
      <c r="H495" s="274"/>
      <c r="I495" s="18"/>
      <c r="J495" s="54"/>
      <c r="K495" s="18"/>
      <c r="L495" s="18"/>
    </row>
    <row r="496" spans="1:12">
      <c r="A496" s="50"/>
      <c r="B496" s="18"/>
      <c r="D496" s="18"/>
      <c r="E496" s="18"/>
      <c r="F496" s="18"/>
      <c r="G496" s="18"/>
      <c r="H496" s="274"/>
      <c r="I496" s="18"/>
      <c r="J496" s="54"/>
      <c r="K496" s="18"/>
      <c r="L496" s="18"/>
    </row>
    <row r="497" spans="1:12">
      <c r="A497" s="50"/>
      <c r="B497" s="18"/>
      <c r="D497" s="18"/>
      <c r="E497" s="18"/>
      <c r="F497" s="18"/>
      <c r="G497" s="18"/>
      <c r="H497" s="274"/>
      <c r="I497" s="18"/>
      <c r="J497" s="54"/>
      <c r="K497" s="18"/>
      <c r="L497" s="18"/>
    </row>
    <row r="498" spans="1:12">
      <c r="A498" s="50"/>
      <c r="B498" s="18"/>
      <c r="D498" s="18"/>
      <c r="E498" s="18"/>
      <c r="F498" s="18"/>
      <c r="G498" s="18"/>
      <c r="H498" s="274"/>
      <c r="I498" s="18"/>
      <c r="J498" s="54"/>
      <c r="K498" s="18"/>
      <c r="L498" s="18"/>
    </row>
    <row r="499" spans="1:12">
      <c r="A499" s="50"/>
      <c r="B499" s="18"/>
      <c r="D499" s="18"/>
      <c r="E499" s="18"/>
      <c r="F499" s="18"/>
      <c r="G499" s="18"/>
      <c r="H499" s="274"/>
      <c r="I499" s="18"/>
      <c r="J499" s="54"/>
      <c r="K499" s="18"/>
      <c r="L499" s="18"/>
    </row>
    <row r="500" spans="1:12">
      <c r="A500" s="50"/>
      <c r="B500" s="18"/>
      <c r="D500" s="18"/>
      <c r="E500" s="18"/>
      <c r="F500" s="18"/>
      <c r="G500" s="18"/>
      <c r="H500" s="274"/>
      <c r="I500" s="18"/>
      <c r="J500" s="54"/>
      <c r="K500" s="18"/>
      <c r="L500" s="18"/>
    </row>
    <row r="501" spans="1:12">
      <c r="A501" s="50"/>
      <c r="B501" s="18"/>
      <c r="D501" s="18"/>
      <c r="E501" s="18"/>
      <c r="F501" s="18"/>
      <c r="G501" s="18"/>
      <c r="H501" s="274"/>
      <c r="I501" s="18"/>
      <c r="J501" s="54"/>
      <c r="K501" s="18"/>
      <c r="L501" s="18"/>
    </row>
    <row r="502" spans="1:12">
      <c r="A502" s="50"/>
      <c r="B502" s="18"/>
      <c r="D502" s="18"/>
      <c r="E502" s="18"/>
      <c r="F502" s="18"/>
      <c r="G502" s="18"/>
      <c r="H502" s="274"/>
      <c r="I502" s="18"/>
      <c r="J502" s="54"/>
      <c r="K502" s="18"/>
      <c r="L502" s="18"/>
    </row>
    <row r="503" spans="1:12">
      <c r="A503" s="50"/>
      <c r="B503" s="18"/>
      <c r="D503" s="18"/>
      <c r="E503" s="18"/>
      <c r="F503" s="18"/>
      <c r="G503" s="18"/>
      <c r="H503" s="274"/>
      <c r="I503" s="18"/>
      <c r="J503" s="54"/>
      <c r="K503" s="18"/>
      <c r="L503" s="18"/>
    </row>
    <row r="504" spans="1:12">
      <c r="A504" s="50"/>
      <c r="B504" s="18"/>
      <c r="D504" s="18"/>
      <c r="E504" s="18"/>
      <c r="F504" s="18"/>
      <c r="G504" s="18"/>
      <c r="H504" s="274"/>
      <c r="I504" s="18"/>
      <c r="J504" s="54"/>
      <c r="K504" s="18"/>
      <c r="L504" s="18"/>
    </row>
    <row r="505" spans="1:12">
      <c r="A505" s="50"/>
      <c r="B505" s="18"/>
      <c r="D505" s="18"/>
      <c r="E505" s="18"/>
      <c r="F505" s="18"/>
      <c r="G505" s="18"/>
      <c r="H505" s="274"/>
      <c r="I505" s="18"/>
      <c r="J505" s="54"/>
      <c r="K505" s="18"/>
      <c r="L505" s="18"/>
    </row>
    <row r="506" spans="1:12">
      <c r="A506" s="50"/>
      <c r="B506" s="18"/>
      <c r="D506" s="18"/>
      <c r="E506" s="18"/>
      <c r="F506" s="18"/>
      <c r="G506" s="18"/>
      <c r="H506" s="274"/>
      <c r="I506" s="18"/>
      <c r="J506" s="54"/>
      <c r="K506" s="18"/>
      <c r="L506" s="18"/>
    </row>
    <row r="507" spans="1:12">
      <c r="A507" s="50"/>
      <c r="B507" s="18"/>
      <c r="D507" s="18"/>
      <c r="E507" s="18"/>
      <c r="F507" s="18"/>
      <c r="G507" s="18"/>
      <c r="H507" s="274"/>
      <c r="I507" s="18"/>
      <c r="J507" s="54"/>
      <c r="K507" s="18"/>
      <c r="L507" s="18"/>
    </row>
    <row r="508" spans="1:12">
      <c r="A508" s="50"/>
      <c r="B508" s="18"/>
      <c r="D508" s="18"/>
      <c r="E508" s="18"/>
      <c r="F508" s="18"/>
      <c r="G508" s="18"/>
      <c r="H508" s="274"/>
      <c r="I508" s="18"/>
      <c r="J508" s="54"/>
      <c r="K508" s="18"/>
      <c r="L508" s="18"/>
    </row>
    <row r="509" spans="1:12">
      <c r="A509" s="50"/>
      <c r="B509" s="18"/>
      <c r="D509" s="18"/>
      <c r="E509" s="18"/>
      <c r="F509" s="18"/>
      <c r="G509" s="18"/>
      <c r="H509" s="274"/>
      <c r="I509" s="18"/>
      <c r="J509" s="54"/>
      <c r="K509" s="18"/>
      <c r="L509" s="18"/>
    </row>
    <row r="510" spans="1:12">
      <c r="A510" s="50"/>
      <c r="B510" s="18"/>
      <c r="D510" s="18"/>
      <c r="E510" s="18"/>
      <c r="F510" s="18"/>
      <c r="G510" s="18"/>
      <c r="H510" s="274"/>
      <c r="I510" s="18"/>
      <c r="J510" s="54"/>
      <c r="K510" s="18"/>
      <c r="L510" s="18"/>
    </row>
    <row r="511" spans="1:12">
      <c r="A511" s="50"/>
      <c r="B511" s="18"/>
      <c r="D511" s="18"/>
      <c r="E511" s="18"/>
      <c r="F511" s="18"/>
      <c r="G511" s="18"/>
      <c r="H511" s="274"/>
      <c r="I511" s="18"/>
      <c r="J511" s="54"/>
      <c r="K511" s="18"/>
      <c r="L511" s="18"/>
    </row>
    <row r="512" spans="1:12">
      <c r="A512" s="50"/>
      <c r="B512" s="18"/>
      <c r="D512" s="18"/>
      <c r="E512" s="18"/>
      <c r="F512" s="18"/>
      <c r="G512" s="18"/>
      <c r="H512" s="274"/>
      <c r="I512" s="18"/>
      <c r="J512" s="54"/>
      <c r="K512" s="18"/>
      <c r="L512" s="18"/>
    </row>
    <row r="513" spans="1:12">
      <c r="A513" s="50"/>
      <c r="B513" s="18"/>
      <c r="D513" s="18"/>
      <c r="E513" s="18"/>
      <c r="F513" s="18"/>
      <c r="G513" s="18"/>
      <c r="H513" s="274"/>
      <c r="I513" s="18"/>
      <c r="J513" s="54"/>
      <c r="K513" s="18"/>
      <c r="L513" s="18"/>
    </row>
    <row r="514" spans="1:12">
      <c r="A514" s="50"/>
      <c r="B514" s="18"/>
      <c r="D514" s="18"/>
      <c r="E514" s="18"/>
      <c r="F514" s="18"/>
      <c r="G514" s="18"/>
      <c r="H514" s="274"/>
      <c r="I514" s="18"/>
      <c r="J514" s="54"/>
      <c r="K514" s="18"/>
      <c r="L514" s="18"/>
    </row>
    <row r="515" spans="1:12">
      <c r="A515" s="50"/>
      <c r="B515" s="18"/>
      <c r="D515" s="18"/>
      <c r="E515" s="18"/>
      <c r="F515" s="18"/>
      <c r="G515" s="18"/>
      <c r="H515" s="274"/>
      <c r="I515" s="18"/>
      <c r="J515" s="54"/>
      <c r="K515" s="18"/>
      <c r="L515" s="18"/>
    </row>
    <row r="516" spans="1:12">
      <c r="A516" s="50"/>
      <c r="B516" s="18"/>
      <c r="D516" s="18"/>
      <c r="E516" s="18"/>
      <c r="F516" s="18"/>
      <c r="G516" s="18"/>
      <c r="H516" s="274"/>
      <c r="I516" s="18"/>
      <c r="J516" s="54"/>
      <c r="K516" s="18"/>
      <c r="L516" s="18"/>
    </row>
    <row r="517" spans="1:12">
      <c r="A517" s="50"/>
      <c r="B517" s="18"/>
      <c r="D517" s="18"/>
      <c r="E517" s="18"/>
      <c r="F517" s="18"/>
      <c r="G517" s="18"/>
      <c r="H517" s="274"/>
      <c r="I517" s="18"/>
      <c r="J517" s="54"/>
      <c r="K517" s="18"/>
      <c r="L517" s="18"/>
    </row>
    <row r="518" spans="1:12">
      <c r="A518" s="50"/>
      <c r="B518" s="18"/>
      <c r="D518" s="18"/>
      <c r="E518" s="18"/>
      <c r="F518" s="18"/>
      <c r="G518" s="18"/>
      <c r="H518" s="274"/>
      <c r="I518" s="18"/>
      <c r="J518" s="54"/>
      <c r="K518" s="18"/>
      <c r="L518" s="18"/>
    </row>
    <row r="519" spans="1:12">
      <c r="A519" s="50"/>
      <c r="B519" s="18"/>
      <c r="D519" s="18"/>
      <c r="E519" s="18"/>
      <c r="F519" s="18"/>
      <c r="G519" s="18"/>
      <c r="H519" s="274"/>
      <c r="I519" s="18"/>
      <c r="J519" s="54"/>
      <c r="K519" s="18"/>
      <c r="L519" s="18"/>
    </row>
    <row r="520" spans="1:12">
      <c r="A520" s="50"/>
      <c r="B520" s="18"/>
      <c r="D520" s="18"/>
      <c r="E520" s="18"/>
      <c r="F520" s="18"/>
      <c r="G520" s="18"/>
      <c r="H520" s="274"/>
      <c r="I520" s="18"/>
      <c r="J520" s="54"/>
      <c r="K520" s="18"/>
      <c r="L520" s="18"/>
    </row>
    <row r="521" spans="1:12">
      <c r="A521" s="50"/>
      <c r="B521" s="18"/>
      <c r="D521" s="18"/>
      <c r="E521" s="18"/>
      <c r="F521" s="18"/>
      <c r="G521" s="18"/>
      <c r="H521" s="274"/>
      <c r="I521" s="18"/>
      <c r="J521" s="54"/>
      <c r="K521" s="18"/>
      <c r="L521" s="18"/>
    </row>
    <row r="522" spans="1:12">
      <c r="A522" s="50"/>
      <c r="B522" s="18"/>
      <c r="D522" s="18"/>
      <c r="E522" s="18"/>
      <c r="F522" s="18"/>
      <c r="G522" s="18"/>
      <c r="H522" s="274"/>
      <c r="I522" s="18"/>
      <c r="J522" s="54"/>
      <c r="K522" s="18"/>
      <c r="L522" s="18"/>
    </row>
    <row r="523" spans="1:12">
      <c r="A523" s="50"/>
      <c r="B523" s="18"/>
      <c r="D523" s="18"/>
      <c r="E523" s="18"/>
      <c r="F523" s="18"/>
      <c r="G523" s="18"/>
      <c r="H523" s="274"/>
      <c r="I523" s="18"/>
      <c r="J523" s="54"/>
      <c r="K523" s="18"/>
      <c r="L523" s="18"/>
    </row>
    <row r="524" spans="1:12">
      <c r="A524" s="50"/>
      <c r="B524" s="18"/>
      <c r="D524" s="18"/>
      <c r="E524" s="18">
        <f>116+64+6</f>
        <v>186</v>
      </c>
      <c r="F524" s="18"/>
      <c r="G524" s="18"/>
      <c r="H524" s="274"/>
      <c r="I524" s="18"/>
      <c r="J524" s="54"/>
      <c r="K524" s="18"/>
      <c r="L524" s="18"/>
    </row>
    <row r="525" spans="1:12">
      <c r="A525" s="50"/>
      <c r="B525" s="18"/>
      <c r="D525" s="18"/>
      <c r="E525" s="18"/>
      <c r="F525" s="18"/>
      <c r="G525" s="18"/>
      <c r="H525" s="274"/>
      <c r="I525" s="18"/>
      <c r="J525" s="54"/>
      <c r="K525" s="18"/>
      <c r="L525" s="18"/>
    </row>
    <row r="526" spans="1:12">
      <c r="A526" s="50"/>
      <c r="B526" s="18"/>
      <c r="D526" s="18"/>
      <c r="E526" s="18"/>
      <c r="F526" s="18"/>
      <c r="G526" s="18"/>
      <c r="H526" s="274"/>
      <c r="I526" s="18"/>
      <c r="J526" s="54"/>
      <c r="K526" s="18"/>
      <c r="L526" s="18"/>
    </row>
    <row r="527" spans="1:12">
      <c r="A527" s="50"/>
      <c r="B527" s="18"/>
      <c r="D527" s="18"/>
      <c r="E527" s="18"/>
      <c r="F527" s="18"/>
      <c r="G527" s="18"/>
      <c r="H527" s="274"/>
      <c r="I527" s="18"/>
      <c r="J527" s="54"/>
      <c r="K527" s="18"/>
      <c r="L527" s="18"/>
    </row>
    <row r="528" spans="1:12">
      <c r="A528" s="50"/>
      <c r="B528" s="18"/>
      <c r="D528" s="18"/>
      <c r="E528" s="18"/>
      <c r="F528" s="18"/>
      <c r="G528" s="18"/>
      <c r="H528" s="274"/>
      <c r="I528" s="18"/>
      <c r="J528" s="54"/>
      <c r="K528" s="18"/>
      <c r="L528" s="18"/>
    </row>
    <row r="529" spans="1:14">
      <c r="A529" s="50"/>
      <c r="B529" s="18"/>
      <c r="D529" s="18"/>
      <c r="E529" s="18"/>
      <c r="F529" s="18"/>
      <c r="G529" s="18"/>
      <c r="H529" s="274"/>
      <c r="I529" s="18"/>
      <c r="J529" s="54"/>
      <c r="K529" s="18"/>
      <c r="L529" s="18"/>
    </row>
    <row r="530" spans="1:14">
      <c r="A530" s="50"/>
      <c r="B530" s="18"/>
      <c r="D530" s="18"/>
      <c r="E530" s="18"/>
      <c r="F530" s="18"/>
      <c r="G530" s="18"/>
      <c r="H530" s="274"/>
      <c r="I530" s="18"/>
      <c r="J530" s="54"/>
      <c r="K530" s="18"/>
      <c r="L530" s="18"/>
    </row>
    <row r="531" spans="1:14">
      <c r="A531" s="50"/>
      <c r="B531" s="18"/>
      <c r="D531" s="18"/>
      <c r="E531" s="18"/>
      <c r="F531" s="18"/>
      <c r="G531" s="18"/>
      <c r="H531" s="274"/>
      <c r="I531" s="18"/>
      <c r="J531" s="54"/>
      <c r="K531" s="18"/>
      <c r="L531" s="18"/>
    </row>
    <row r="532" spans="1:14">
      <c r="A532" s="50"/>
      <c r="B532" s="18"/>
      <c r="D532" s="18"/>
      <c r="E532" s="18"/>
      <c r="F532" s="18"/>
      <c r="G532" s="18"/>
      <c r="H532" s="274"/>
      <c r="I532" s="18"/>
      <c r="J532" s="54"/>
      <c r="K532" s="18"/>
      <c r="L532" s="18"/>
    </row>
    <row r="533" spans="1:14">
      <c r="A533" s="50"/>
      <c r="B533" s="18"/>
      <c r="D533" s="18"/>
      <c r="E533" s="18"/>
      <c r="F533" s="18"/>
      <c r="G533" s="18"/>
      <c r="H533" s="274"/>
      <c r="I533" s="18"/>
      <c r="J533" s="54"/>
      <c r="K533" s="18"/>
      <c r="L533" s="18"/>
    </row>
    <row r="534" spans="1:14" ht="42">
      <c r="A534" s="50"/>
      <c r="B534" s="57" t="s">
        <v>97</v>
      </c>
      <c r="D534" s="18"/>
      <c r="E534" s="18">
        <v>150</v>
      </c>
      <c r="F534" s="18"/>
      <c r="G534" s="18"/>
      <c r="H534" s="274"/>
      <c r="I534" s="18"/>
      <c r="J534" s="54"/>
      <c r="K534" s="18"/>
      <c r="L534" s="18"/>
    </row>
    <row r="535" spans="1:14" ht="30">
      <c r="A535" s="50"/>
      <c r="B535" s="18" t="s">
        <v>98</v>
      </c>
      <c r="D535" s="18"/>
      <c r="E535" s="18">
        <v>240</v>
      </c>
      <c r="F535" s="18"/>
      <c r="G535" s="18"/>
      <c r="H535" s="274"/>
      <c r="I535" s="18"/>
      <c r="J535" s="54"/>
      <c r="K535" s="18"/>
      <c r="L535" s="18"/>
    </row>
    <row r="536" spans="1:14">
      <c r="A536" s="50"/>
      <c r="B536" s="18"/>
      <c r="D536" s="18"/>
      <c r="E536" s="18"/>
      <c r="F536" s="18"/>
      <c r="G536" s="18"/>
      <c r="H536" s="274"/>
      <c r="I536" s="18"/>
      <c r="J536" s="54"/>
      <c r="K536" s="18"/>
      <c r="L536" s="18"/>
    </row>
    <row r="537" spans="1:14" s="2" customFormat="1" ht="43.2">
      <c r="A537" s="50"/>
      <c r="B537" s="58" t="s">
        <v>99</v>
      </c>
      <c r="C537" s="58"/>
      <c r="D537" s="58"/>
      <c r="E537" s="58">
        <v>19.559999999999999</v>
      </c>
      <c r="F537" s="58"/>
      <c r="G537" s="58"/>
      <c r="H537" s="276"/>
      <c r="I537" s="58"/>
      <c r="J537" s="59"/>
      <c r="K537" s="58"/>
      <c r="L537" s="58"/>
      <c r="M537" s="68"/>
      <c r="N537" s="68"/>
    </row>
    <row r="538" spans="1:14">
      <c r="A538" s="50"/>
      <c r="B538" s="18"/>
      <c r="D538" s="18"/>
      <c r="E538" s="18"/>
      <c r="F538" s="18"/>
      <c r="G538" s="18"/>
      <c r="H538" s="274"/>
      <c r="I538" s="18"/>
      <c r="J538" s="54"/>
      <c r="K538" s="18"/>
      <c r="L538" s="18"/>
    </row>
    <row r="539" spans="1:14">
      <c r="A539" s="50"/>
      <c r="B539" s="18"/>
      <c r="D539" s="18"/>
      <c r="E539" s="18"/>
      <c r="F539" s="18"/>
      <c r="G539" s="18"/>
      <c r="H539" s="274"/>
      <c r="I539" s="18"/>
      <c r="J539" s="54"/>
      <c r="K539" s="18"/>
      <c r="L539" s="18"/>
    </row>
    <row r="540" spans="1:14">
      <c r="A540" s="50"/>
      <c r="B540" s="18"/>
      <c r="D540" s="18"/>
      <c r="E540" s="18"/>
      <c r="F540" s="18"/>
      <c r="G540" s="18"/>
      <c r="H540" s="274"/>
      <c r="I540" s="18"/>
      <c r="J540" s="54"/>
      <c r="K540" s="18"/>
      <c r="L540" s="18"/>
    </row>
    <row r="541" spans="1:14">
      <c r="A541" s="50"/>
      <c r="B541" s="18" t="s">
        <v>88</v>
      </c>
      <c r="D541" s="18"/>
      <c r="E541" s="18"/>
      <c r="F541" s="18"/>
      <c r="G541" s="18"/>
      <c r="H541" s="274"/>
      <c r="I541" s="18"/>
      <c r="J541" s="54"/>
      <c r="K541" s="18"/>
      <c r="L541" s="18"/>
    </row>
    <row r="542" spans="1:14">
      <c r="A542" s="50"/>
      <c r="B542" s="18"/>
      <c r="D542" s="18"/>
      <c r="E542" s="18"/>
      <c r="F542" s="18"/>
      <c r="G542" s="18"/>
      <c r="H542" s="274"/>
      <c r="I542" s="18"/>
      <c r="J542" s="54"/>
      <c r="K542" s="18"/>
      <c r="L542" s="18"/>
    </row>
    <row r="543" spans="1:14" ht="30">
      <c r="A543" s="50"/>
      <c r="B543" s="18" t="s">
        <v>100</v>
      </c>
      <c r="D543" s="18"/>
      <c r="E543" s="18">
        <v>210</v>
      </c>
      <c r="F543" s="18"/>
      <c r="G543" s="18"/>
      <c r="H543" s="274"/>
      <c r="I543" s="18"/>
      <c r="J543" s="54"/>
      <c r="K543" s="18"/>
      <c r="L543" s="18"/>
    </row>
    <row r="544" spans="1:14">
      <c r="A544" s="50"/>
      <c r="B544" s="18"/>
      <c r="D544" s="18"/>
      <c r="E544" s="18"/>
      <c r="F544" s="18"/>
      <c r="G544" s="18"/>
      <c r="H544" s="274"/>
      <c r="I544" s="18"/>
      <c r="J544" s="54"/>
      <c r="K544" s="18"/>
      <c r="L544" s="18"/>
    </row>
    <row r="545" spans="1:12">
      <c r="A545" s="50"/>
      <c r="B545" s="18"/>
      <c r="D545" s="18"/>
      <c r="E545" s="18"/>
      <c r="F545" s="18"/>
      <c r="G545" s="18"/>
      <c r="H545" s="274"/>
      <c r="I545" s="18"/>
      <c r="J545" s="54"/>
      <c r="K545" s="18"/>
      <c r="L545" s="18"/>
    </row>
    <row r="546" spans="1:12">
      <c r="A546" s="50"/>
      <c r="B546" s="18"/>
      <c r="D546" s="18"/>
      <c r="E546" s="18"/>
      <c r="F546" s="18"/>
      <c r="G546" s="18"/>
      <c r="H546" s="274"/>
      <c r="I546" s="18"/>
      <c r="J546" s="54"/>
      <c r="K546" s="18"/>
      <c r="L546" s="18"/>
    </row>
    <row r="547" spans="1:12">
      <c r="A547" s="50"/>
      <c r="B547" s="18"/>
      <c r="D547" s="18"/>
      <c r="E547" s="18"/>
      <c r="F547" s="18"/>
      <c r="G547" s="18"/>
      <c r="H547" s="274"/>
      <c r="I547" s="18"/>
      <c r="J547" s="54"/>
      <c r="K547" s="18"/>
      <c r="L547" s="18"/>
    </row>
    <row r="548" spans="1:12">
      <c r="A548" s="50"/>
      <c r="B548" s="18"/>
      <c r="D548" s="18"/>
      <c r="E548" s="18"/>
      <c r="F548" s="18"/>
      <c r="G548" s="18"/>
      <c r="H548" s="274"/>
      <c r="I548" s="18"/>
      <c r="J548" s="54"/>
      <c r="K548" s="18"/>
      <c r="L548" s="18"/>
    </row>
    <row r="549" spans="1:12">
      <c r="A549" s="50"/>
      <c r="B549" s="18"/>
      <c r="D549" s="18"/>
      <c r="E549" s="18"/>
      <c r="F549" s="18"/>
      <c r="G549" s="18"/>
      <c r="H549" s="274"/>
      <c r="I549" s="18"/>
      <c r="J549" s="54"/>
      <c r="K549" s="18"/>
      <c r="L549" s="18"/>
    </row>
    <row r="550" spans="1:12">
      <c r="A550" s="50"/>
      <c r="B550" s="18"/>
      <c r="D550" s="18"/>
      <c r="E550" s="18"/>
      <c r="F550" s="18"/>
      <c r="G550" s="18"/>
      <c r="H550" s="274"/>
      <c r="I550" s="18"/>
      <c r="J550" s="54"/>
      <c r="K550" s="18"/>
      <c r="L550" s="18"/>
    </row>
    <row r="551" spans="1:12">
      <c r="A551" s="50"/>
      <c r="B551" s="18"/>
      <c r="D551" s="18"/>
      <c r="E551" s="18"/>
      <c r="F551" s="18"/>
      <c r="G551" s="18"/>
      <c r="H551" s="274"/>
      <c r="I551" s="18"/>
      <c r="J551" s="54"/>
      <c r="K551" s="18"/>
      <c r="L551" s="18"/>
    </row>
    <row r="552" spans="1:12">
      <c r="A552" s="50"/>
      <c r="B552" s="18"/>
      <c r="D552" s="18"/>
      <c r="E552" s="18"/>
      <c r="F552" s="18"/>
      <c r="G552" s="18"/>
      <c r="H552" s="274"/>
      <c r="I552" s="18"/>
      <c r="J552" s="54"/>
      <c r="K552" s="18"/>
      <c r="L552" s="18"/>
    </row>
    <row r="553" spans="1:12">
      <c r="A553" s="50"/>
      <c r="B553" s="18"/>
      <c r="D553" s="18"/>
      <c r="E553" s="18"/>
      <c r="F553" s="18"/>
      <c r="G553" s="18"/>
      <c r="H553" s="274"/>
      <c r="I553" s="18"/>
      <c r="J553" s="54"/>
      <c r="K553" s="18"/>
      <c r="L553" s="18"/>
    </row>
    <row r="554" spans="1:12">
      <c r="A554" s="50"/>
      <c r="B554" s="18"/>
      <c r="D554" s="18"/>
      <c r="E554" s="18"/>
      <c r="F554" s="18"/>
      <c r="G554" s="18"/>
      <c r="H554" s="274"/>
      <c r="I554" s="18"/>
      <c r="J554" s="54"/>
      <c r="K554" s="18"/>
      <c r="L554" s="18"/>
    </row>
    <row r="555" spans="1:12">
      <c r="A555" s="50"/>
      <c r="B555" s="18"/>
      <c r="D555" s="18"/>
      <c r="E555" s="18"/>
      <c r="F555" s="18"/>
      <c r="G555" s="18"/>
      <c r="H555" s="274"/>
      <c r="I555" s="18"/>
      <c r="J555" s="54"/>
      <c r="K555" s="18"/>
      <c r="L555" s="18"/>
    </row>
    <row r="556" spans="1:12">
      <c r="A556" s="50"/>
      <c r="B556" s="18"/>
      <c r="D556" s="18"/>
      <c r="E556" s="18"/>
      <c r="F556" s="18"/>
      <c r="G556" s="18"/>
      <c r="H556" s="274"/>
      <c r="I556" s="18"/>
      <c r="J556" s="54"/>
      <c r="K556" s="18"/>
      <c r="L556" s="18"/>
    </row>
    <row r="557" spans="1:12">
      <c r="A557" s="50"/>
      <c r="B557" s="18"/>
      <c r="D557" s="18"/>
      <c r="E557" s="18"/>
      <c r="F557" s="18"/>
      <c r="G557" s="18"/>
      <c r="H557" s="274"/>
      <c r="I557" s="18"/>
      <c r="J557" s="54"/>
      <c r="K557" s="18"/>
      <c r="L557" s="18"/>
    </row>
    <row r="558" spans="1:12">
      <c r="A558" s="50"/>
      <c r="B558" s="18"/>
      <c r="D558" s="18"/>
      <c r="E558" s="18"/>
      <c r="F558" s="18"/>
      <c r="G558" s="18"/>
      <c r="H558" s="274"/>
      <c r="I558" s="18"/>
      <c r="J558" s="54"/>
      <c r="K558" s="18"/>
      <c r="L558" s="18"/>
    </row>
    <row r="559" spans="1:12">
      <c r="A559" s="50"/>
      <c r="B559" s="18"/>
      <c r="D559" s="18"/>
      <c r="E559" s="18"/>
      <c r="F559" s="18"/>
      <c r="G559" s="18"/>
      <c r="H559" s="274"/>
      <c r="I559" s="18"/>
      <c r="J559" s="54"/>
      <c r="K559" s="18"/>
      <c r="L559" s="18"/>
    </row>
    <row r="560" spans="1:12">
      <c r="A560" s="50"/>
      <c r="B560" s="18"/>
      <c r="D560" s="18"/>
      <c r="E560" s="18"/>
      <c r="F560" s="18"/>
      <c r="G560" s="18"/>
      <c r="H560" s="274"/>
      <c r="I560" s="18"/>
      <c r="J560" s="54"/>
      <c r="K560" s="18"/>
      <c r="L560" s="18"/>
    </row>
    <row r="561" spans="1:12">
      <c r="A561" s="50"/>
      <c r="B561" s="18"/>
      <c r="D561" s="18"/>
      <c r="E561" s="18"/>
      <c r="F561" s="18"/>
      <c r="G561" s="18"/>
      <c r="H561" s="274"/>
      <c r="I561" s="18"/>
      <c r="J561" s="54"/>
      <c r="K561" s="18"/>
      <c r="L561" s="18"/>
    </row>
    <row r="562" spans="1:12">
      <c r="A562" s="50"/>
      <c r="B562" s="18"/>
      <c r="D562" s="18"/>
      <c r="E562" s="18"/>
      <c r="F562" s="18"/>
      <c r="G562" s="18"/>
      <c r="H562" s="274"/>
      <c r="I562" s="18"/>
      <c r="J562" s="54"/>
      <c r="K562" s="18"/>
      <c r="L562" s="18"/>
    </row>
    <row r="563" spans="1:12">
      <c r="A563" s="50"/>
      <c r="B563" s="18"/>
      <c r="D563" s="18"/>
      <c r="E563" s="18"/>
      <c r="F563" s="18"/>
      <c r="G563" s="18"/>
      <c r="H563" s="274"/>
      <c r="I563" s="18"/>
      <c r="J563" s="54"/>
      <c r="K563" s="18"/>
      <c r="L563" s="18"/>
    </row>
    <row r="564" spans="1:12">
      <c r="A564" s="50"/>
      <c r="B564" s="18"/>
      <c r="D564" s="18"/>
      <c r="E564" s="18"/>
      <c r="F564" s="18"/>
      <c r="G564" s="18"/>
      <c r="H564" s="274"/>
      <c r="I564" s="18"/>
      <c r="J564" s="54"/>
      <c r="K564" s="18"/>
      <c r="L564" s="18"/>
    </row>
    <row r="565" spans="1:12">
      <c r="A565" s="50"/>
      <c r="B565" s="18"/>
      <c r="D565" s="18"/>
      <c r="E565" s="18"/>
      <c r="F565" s="18"/>
      <c r="G565" s="18"/>
      <c r="H565" s="274"/>
      <c r="I565" s="18"/>
      <c r="J565" s="54"/>
      <c r="K565" s="18"/>
      <c r="L565" s="18"/>
    </row>
    <row r="566" spans="1:12">
      <c r="A566" s="50"/>
      <c r="B566" s="18"/>
      <c r="D566" s="18"/>
      <c r="E566" s="18"/>
      <c r="F566" s="18"/>
      <c r="G566" s="18"/>
      <c r="H566" s="274"/>
      <c r="I566" s="18"/>
      <c r="J566" s="54"/>
      <c r="K566" s="18"/>
      <c r="L566" s="18"/>
    </row>
    <row r="567" spans="1:12">
      <c r="A567" s="50"/>
      <c r="B567" s="18"/>
      <c r="D567" s="18"/>
      <c r="E567" s="18"/>
      <c r="F567" s="18"/>
      <c r="G567" s="18"/>
      <c r="H567" s="274"/>
      <c r="I567" s="18"/>
      <c r="J567" s="54"/>
      <c r="K567" s="18"/>
      <c r="L567" s="18"/>
    </row>
    <row r="568" spans="1:12">
      <c r="A568" s="50"/>
      <c r="B568" s="18"/>
      <c r="D568" s="18"/>
      <c r="E568" s="18"/>
      <c r="F568" s="18"/>
      <c r="G568" s="18"/>
      <c r="H568" s="274"/>
      <c r="I568" s="18"/>
      <c r="J568" s="54"/>
      <c r="K568" s="18"/>
      <c r="L568" s="18"/>
    </row>
    <row r="569" spans="1:12">
      <c r="A569" s="50"/>
      <c r="B569" s="18"/>
      <c r="D569" s="18"/>
      <c r="E569" s="18"/>
      <c r="F569" s="18"/>
      <c r="G569" s="18"/>
      <c r="H569" s="274"/>
      <c r="I569" s="18"/>
      <c r="J569" s="54"/>
      <c r="K569" s="18"/>
      <c r="L569" s="18"/>
    </row>
    <row r="570" spans="1:12">
      <c r="A570" s="50"/>
      <c r="B570" s="18"/>
      <c r="D570" s="18"/>
      <c r="E570" s="18"/>
      <c r="F570" s="18"/>
      <c r="G570" s="18"/>
      <c r="H570" s="274"/>
      <c r="I570" s="18"/>
      <c r="J570" s="54"/>
      <c r="K570" s="18"/>
      <c r="L570" s="18"/>
    </row>
    <row r="571" spans="1:12">
      <c r="A571" s="50"/>
      <c r="B571" s="18"/>
      <c r="D571" s="18"/>
      <c r="E571" s="18"/>
      <c r="F571" s="18"/>
      <c r="G571" s="18"/>
      <c r="H571" s="274"/>
      <c r="I571" s="18"/>
      <c r="J571" s="54"/>
      <c r="K571" s="18"/>
      <c r="L571" s="18"/>
    </row>
    <row r="572" spans="1:12">
      <c r="A572" s="50"/>
      <c r="B572" s="18"/>
      <c r="D572" s="18"/>
      <c r="E572" s="18"/>
      <c r="F572" s="18"/>
      <c r="G572" s="18"/>
      <c r="H572" s="274"/>
      <c r="I572" s="18"/>
      <c r="J572" s="54"/>
      <c r="K572" s="18"/>
      <c r="L572" s="18"/>
    </row>
    <row r="573" spans="1:12">
      <c r="A573" s="50"/>
      <c r="B573" s="18"/>
      <c r="D573" s="18"/>
      <c r="E573" s="18"/>
      <c r="F573" s="18"/>
      <c r="G573" s="18"/>
      <c r="H573" s="274"/>
      <c r="I573" s="18"/>
      <c r="J573" s="54"/>
      <c r="K573" s="18"/>
      <c r="L573" s="18"/>
    </row>
    <row r="574" spans="1:12">
      <c r="A574" s="50"/>
      <c r="B574" s="18"/>
      <c r="D574" s="18"/>
      <c r="E574" s="18"/>
      <c r="F574" s="18"/>
      <c r="G574" s="18"/>
      <c r="H574" s="274"/>
      <c r="I574" s="18"/>
      <c r="J574" s="54"/>
      <c r="K574" s="18"/>
      <c r="L574" s="18"/>
    </row>
    <row r="575" spans="1:12">
      <c r="A575" s="50"/>
      <c r="B575" s="18"/>
      <c r="D575" s="18"/>
      <c r="E575" s="18"/>
      <c r="F575" s="18"/>
      <c r="G575" s="18"/>
      <c r="H575" s="274"/>
      <c r="I575" s="18"/>
      <c r="J575" s="54"/>
      <c r="K575" s="18"/>
      <c r="L575" s="18"/>
    </row>
    <row r="576" spans="1:12">
      <c r="A576" s="50"/>
      <c r="B576" s="18"/>
      <c r="D576" s="18"/>
      <c r="E576" s="18"/>
      <c r="F576" s="18"/>
      <c r="G576" s="18"/>
      <c r="H576" s="274"/>
      <c r="I576" s="18"/>
      <c r="J576" s="54"/>
      <c r="K576" s="18"/>
      <c r="L576" s="18"/>
    </row>
    <row r="577" spans="1:12">
      <c r="A577" s="50"/>
      <c r="B577" s="18"/>
      <c r="D577" s="18"/>
      <c r="E577" s="18"/>
      <c r="F577" s="18"/>
      <c r="G577" s="18"/>
      <c r="H577" s="274"/>
      <c r="I577" s="18"/>
      <c r="J577" s="54"/>
      <c r="K577" s="18"/>
      <c r="L577" s="18"/>
    </row>
    <row r="578" spans="1:12">
      <c r="A578" s="50"/>
      <c r="B578" s="18"/>
      <c r="D578" s="18"/>
      <c r="E578" s="18"/>
      <c r="F578" s="18"/>
      <c r="G578" s="18"/>
      <c r="H578" s="274"/>
      <c r="I578" s="18"/>
      <c r="J578" s="54"/>
      <c r="K578" s="18"/>
      <c r="L578" s="18"/>
    </row>
    <row r="579" spans="1:12">
      <c r="A579" s="50"/>
      <c r="B579" s="18"/>
      <c r="D579" s="18"/>
      <c r="E579" s="18"/>
      <c r="F579" s="18"/>
      <c r="G579" s="18"/>
      <c r="H579" s="274"/>
      <c r="I579" s="18"/>
      <c r="J579" s="54"/>
      <c r="K579" s="18"/>
      <c r="L579" s="18"/>
    </row>
    <row r="580" spans="1:12">
      <c r="A580" s="50"/>
      <c r="B580" s="18"/>
      <c r="D580" s="18"/>
      <c r="E580" s="18"/>
      <c r="F580" s="18"/>
      <c r="G580" s="18"/>
      <c r="H580" s="274"/>
      <c r="I580" s="18"/>
      <c r="J580" s="54"/>
      <c r="K580" s="18"/>
      <c r="L580" s="18"/>
    </row>
    <row r="581" spans="1:12">
      <c r="A581" s="50"/>
      <c r="B581" s="18"/>
      <c r="D581" s="18"/>
      <c r="E581" s="18"/>
      <c r="F581" s="18"/>
      <c r="G581" s="18"/>
      <c r="H581" s="274"/>
      <c r="I581" s="18"/>
      <c r="J581" s="54"/>
      <c r="K581" s="18"/>
      <c r="L581" s="18"/>
    </row>
    <row r="582" spans="1:12">
      <c r="A582" s="50"/>
      <c r="B582" s="18"/>
      <c r="D582" s="18"/>
      <c r="E582" s="18"/>
      <c r="F582" s="18"/>
      <c r="G582" s="18"/>
      <c r="H582" s="274"/>
      <c r="I582" s="18"/>
      <c r="J582" s="54"/>
      <c r="K582" s="18"/>
      <c r="L582" s="18"/>
    </row>
    <row r="583" spans="1:12">
      <c r="A583" s="50"/>
      <c r="B583" s="18"/>
      <c r="D583" s="18"/>
      <c r="E583" s="18"/>
      <c r="F583" s="18"/>
      <c r="G583" s="18"/>
      <c r="H583" s="274"/>
      <c r="I583" s="18"/>
      <c r="J583" s="54"/>
      <c r="K583" s="18"/>
      <c r="L583" s="18"/>
    </row>
    <row r="584" spans="1:12">
      <c r="A584" s="50"/>
      <c r="B584" s="18"/>
      <c r="D584" s="18"/>
      <c r="E584" s="18"/>
      <c r="F584" s="18"/>
      <c r="G584" s="18"/>
      <c r="H584" s="274"/>
      <c r="I584" s="18"/>
      <c r="J584" s="54"/>
      <c r="K584" s="18"/>
      <c r="L584" s="18"/>
    </row>
    <row r="585" spans="1:12">
      <c r="A585" s="50"/>
      <c r="B585" s="18"/>
      <c r="D585" s="18"/>
      <c r="E585" s="18"/>
      <c r="F585" s="18"/>
      <c r="G585" s="18"/>
      <c r="H585" s="274"/>
      <c r="I585" s="18"/>
      <c r="J585" s="54"/>
      <c r="K585" s="18"/>
      <c r="L585" s="18"/>
    </row>
    <row r="586" spans="1:12">
      <c r="A586" s="50"/>
      <c r="B586" s="18"/>
      <c r="D586" s="18"/>
      <c r="E586" s="18"/>
      <c r="F586" s="18"/>
      <c r="G586" s="18"/>
      <c r="H586" s="274"/>
      <c r="I586" s="18"/>
      <c r="J586" s="54"/>
      <c r="K586" s="18"/>
      <c r="L586" s="18"/>
    </row>
    <row r="587" spans="1:12">
      <c r="A587" s="50"/>
      <c r="B587" s="18"/>
      <c r="D587" s="18"/>
      <c r="E587" s="18"/>
      <c r="F587" s="18"/>
      <c r="G587" s="18"/>
      <c r="H587" s="274"/>
      <c r="I587" s="18"/>
      <c r="J587" s="54"/>
      <c r="K587" s="18"/>
      <c r="L587" s="18"/>
    </row>
    <row r="588" spans="1:12">
      <c r="A588" s="50"/>
      <c r="B588" s="18"/>
      <c r="D588" s="18"/>
      <c r="E588" s="18"/>
      <c r="F588" s="18"/>
      <c r="G588" s="18"/>
      <c r="H588" s="274"/>
      <c r="I588" s="18"/>
      <c r="J588" s="54"/>
      <c r="K588" s="18"/>
      <c r="L588" s="18"/>
    </row>
    <row r="589" spans="1:12">
      <c r="A589" s="50"/>
      <c r="B589" s="18"/>
      <c r="D589" s="18"/>
      <c r="E589" s="18"/>
      <c r="F589" s="18"/>
      <c r="G589" s="18"/>
      <c r="H589" s="274"/>
      <c r="I589" s="18"/>
      <c r="J589" s="54"/>
      <c r="K589" s="18"/>
      <c r="L589" s="18"/>
    </row>
    <row r="590" spans="1:12">
      <c r="A590" s="50"/>
      <c r="B590" s="18"/>
      <c r="D590" s="18"/>
      <c r="E590" s="18"/>
      <c r="F590" s="18"/>
      <c r="G590" s="18"/>
      <c r="H590" s="274"/>
      <c r="I590" s="18"/>
      <c r="J590" s="54"/>
      <c r="K590" s="18"/>
      <c r="L590" s="18"/>
    </row>
    <row r="591" spans="1:12">
      <c r="A591" s="50"/>
      <c r="B591" s="18"/>
      <c r="D591" s="18"/>
      <c r="E591" s="18"/>
      <c r="F591" s="18"/>
      <c r="G591" s="18"/>
      <c r="H591" s="274"/>
      <c r="I591" s="18"/>
      <c r="J591" s="54"/>
      <c r="K591" s="18"/>
      <c r="L591" s="18"/>
    </row>
    <row r="592" spans="1:12">
      <c r="A592" s="50"/>
      <c r="B592" s="18"/>
      <c r="D592" s="18"/>
      <c r="E592" s="18"/>
      <c r="F592" s="18"/>
      <c r="G592" s="18"/>
      <c r="H592" s="274"/>
      <c r="I592" s="18"/>
      <c r="J592" s="54"/>
      <c r="K592" s="18"/>
      <c r="L592" s="18"/>
    </row>
    <row r="593" spans="1:12">
      <c r="A593" s="50"/>
      <c r="B593" s="18"/>
      <c r="D593" s="18"/>
      <c r="E593" s="18"/>
      <c r="F593" s="18"/>
      <c r="G593" s="18"/>
      <c r="H593" s="274"/>
      <c r="I593" s="18"/>
      <c r="J593" s="54"/>
      <c r="K593" s="18"/>
      <c r="L593" s="18"/>
    </row>
    <row r="594" spans="1:12">
      <c r="A594" s="50"/>
      <c r="B594" s="18"/>
      <c r="D594" s="18"/>
      <c r="E594" s="18"/>
      <c r="F594" s="18"/>
      <c r="G594" s="18"/>
      <c r="H594" s="274"/>
      <c r="I594" s="18"/>
      <c r="J594" s="54"/>
      <c r="K594" s="18"/>
      <c r="L594" s="18"/>
    </row>
    <row r="595" spans="1:12">
      <c r="A595" s="50"/>
      <c r="B595" s="18"/>
      <c r="D595" s="18"/>
      <c r="E595" s="18"/>
      <c r="F595" s="18"/>
      <c r="G595" s="18"/>
      <c r="H595" s="274"/>
      <c r="I595" s="18"/>
      <c r="J595" s="54"/>
      <c r="K595" s="18"/>
      <c r="L595" s="18"/>
    </row>
    <row r="596" spans="1:12">
      <c r="A596" s="50"/>
      <c r="B596" s="18"/>
      <c r="D596" s="18"/>
      <c r="E596" s="18"/>
      <c r="F596" s="18"/>
      <c r="G596" s="18"/>
      <c r="H596" s="274"/>
      <c r="I596" s="18"/>
      <c r="J596" s="54"/>
      <c r="K596" s="18"/>
      <c r="L596" s="18"/>
    </row>
    <row r="597" spans="1:12">
      <c r="A597" s="50"/>
      <c r="B597" s="18"/>
      <c r="D597" s="18"/>
      <c r="E597" s="18"/>
      <c r="F597" s="18"/>
      <c r="G597" s="18"/>
      <c r="H597" s="274"/>
      <c r="I597" s="18"/>
      <c r="J597" s="54"/>
      <c r="K597" s="18"/>
      <c r="L597" s="18"/>
    </row>
    <row r="598" spans="1:12">
      <c r="A598" s="50"/>
      <c r="B598" s="18"/>
      <c r="D598" s="18"/>
      <c r="E598" s="18"/>
      <c r="F598" s="18"/>
      <c r="G598" s="18"/>
      <c r="H598" s="274"/>
      <c r="I598" s="18"/>
      <c r="J598" s="54"/>
      <c r="K598" s="18"/>
      <c r="L598" s="18"/>
    </row>
    <row r="599" spans="1:12">
      <c r="A599" s="50"/>
      <c r="B599" s="18"/>
      <c r="D599" s="18"/>
      <c r="E599" s="18"/>
      <c r="F599" s="18"/>
      <c r="G599" s="18"/>
      <c r="H599" s="274"/>
      <c r="I599" s="18"/>
      <c r="J599" s="54"/>
      <c r="K599" s="18"/>
      <c r="L599" s="18"/>
    </row>
    <row r="600" spans="1:12">
      <c r="A600" s="50"/>
      <c r="B600" s="18"/>
      <c r="D600" s="18"/>
      <c r="E600" s="18"/>
      <c r="F600" s="18"/>
      <c r="G600" s="18"/>
      <c r="H600" s="274"/>
      <c r="I600" s="18"/>
      <c r="J600" s="54"/>
      <c r="K600" s="18"/>
      <c r="L600" s="18"/>
    </row>
    <row r="601" spans="1:12">
      <c r="A601" s="50"/>
      <c r="B601" s="18"/>
      <c r="D601" s="18"/>
      <c r="E601" s="18"/>
      <c r="F601" s="18"/>
      <c r="G601" s="18"/>
      <c r="H601" s="274"/>
      <c r="I601" s="18"/>
      <c r="J601" s="54"/>
      <c r="K601" s="18"/>
      <c r="L601" s="18"/>
    </row>
    <row r="602" spans="1:12">
      <c r="A602" s="50"/>
      <c r="B602" s="18"/>
      <c r="D602" s="18"/>
      <c r="E602" s="18"/>
      <c r="F602" s="18"/>
      <c r="G602" s="18"/>
      <c r="H602" s="274"/>
      <c r="I602" s="18"/>
      <c r="J602" s="54"/>
      <c r="K602" s="18"/>
      <c r="L602" s="18"/>
    </row>
    <row r="603" spans="1:12">
      <c r="A603" s="50"/>
      <c r="B603" s="18"/>
      <c r="D603" s="18"/>
      <c r="E603" s="18"/>
      <c r="F603" s="18"/>
      <c r="G603" s="18"/>
      <c r="H603" s="274"/>
      <c r="I603" s="18"/>
      <c r="J603" s="54"/>
      <c r="K603" s="18"/>
      <c r="L603" s="18"/>
    </row>
    <row r="604" spans="1:12">
      <c r="A604" s="50"/>
      <c r="B604" s="18"/>
      <c r="D604" s="18"/>
      <c r="E604" s="18"/>
      <c r="F604" s="18"/>
      <c r="G604" s="18"/>
      <c r="H604" s="274"/>
      <c r="I604" s="18"/>
      <c r="J604" s="54"/>
      <c r="K604" s="18"/>
      <c r="L604" s="18"/>
    </row>
    <row r="605" spans="1:12">
      <c r="A605" s="50"/>
      <c r="B605" s="18"/>
      <c r="D605" s="18"/>
      <c r="E605" s="18"/>
      <c r="F605" s="18"/>
      <c r="G605" s="18"/>
      <c r="H605" s="274"/>
      <c r="I605" s="18"/>
      <c r="J605" s="54"/>
      <c r="K605" s="18"/>
      <c r="L605" s="18"/>
    </row>
    <row r="606" spans="1:12">
      <c r="A606" s="50"/>
      <c r="B606" s="18"/>
      <c r="D606" s="18"/>
      <c r="E606" s="18"/>
      <c r="F606" s="18"/>
      <c r="G606" s="18"/>
      <c r="H606" s="274"/>
      <c r="I606" s="18"/>
      <c r="J606" s="54"/>
      <c r="K606" s="18"/>
      <c r="L606" s="18"/>
    </row>
    <row r="607" spans="1:12">
      <c r="A607" s="50"/>
      <c r="B607" s="18"/>
      <c r="D607" s="18"/>
      <c r="E607" s="18"/>
      <c r="F607" s="18"/>
      <c r="G607" s="18"/>
      <c r="H607" s="274"/>
      <c r="I607" s="18"/>
      <c r="J607" s="54"/>
      <c r="K607" s="18"/>
      <c r="L607" s="18"/>
    </row>
    <row r="608" spans="1:12">
      <c r="A608" s="50"/>
      <c r="B608" s="18"/>
      <c r="D608" s="18"/>
      <c r="E608" s="18"/>
      <c r="F608" s="18"/>
      <c r="G608" s="18"/>
      <c r="H608" s="274"/>
      <c r="I608" s="18"/>
      <c r="J608" s="54"/>
      <c r="K608" s="18"/>
      <c r="L608" s="18"/>
    </row>
    <row r="609" spans="1:12">
      <c r="A609" s="50"/>
      <c r="B609" s="18"/>
      <c r="D609" s="18"/>
      <c r="E609" s="18"/>
      <c r="F609" s="18"/>
      <c r="G609" s="18"/>
      <c r="H609" s="274"/>
      <c r="I609" s="18"/>
      <c r="J609" s="54"/>
      <c r="K609" s="18"/>
      <c r="L609" s="18"/>
    </row>
    <row r="610" spans="1:12">
      <c r="A610" s="50"/>
      <c r="B610" s="18"/>
      <c r="D610" s="18"/>
      <c r="E610" s="18"/>
      <c r="F610" s="18"/>
      <c r="G610" s="18"/>
      <c r="H610" s="274"/>
      <c r="I610" s="18"/>
      <c r="J610" s="54"/>
      <c r="K610" s="18"/>
      <c r="L610" s="18"/>
    </row>
    <row r="611" spans="1:12">
      <c r="A611" s="50"/>
      <c r="B611" s="18"/>
      <c r="D611" s="18"/>
      <c r="E611" s="18"/>
      <c r="F611" s="18"/>
      <c r="G611" s="18"/>
      <c r="H611" s="274"/>
      <c r="I611" s="18"/>
      <c r="J611" s="54"/>
      <c r="K611" s="18"/>
      <c r="L611" s="18"/>
    </row>
    <row r="612" spans="1:12">
      <c r="A612" s="50"/>
      <c r="B612" s="18"/>
      <c r="D612" s="18"/>
      <c r="E612" s="18"/>
      <c r="F612" s="18"/>
      <c r="G612" s="18"/>
      <c r="H612" s="274"/>
      <c r="I612" s="18"/>
      <c r="J612" s="54"/>
      <c r="K612" s="18"/>
      <c r="L612" s="18"/>
    </row>
    <row r="613" spans="1:12">
      <c r="A613" s="50"/>
      <c r="B613" s="18"/>
      <c r="D613" s="18"/>
      <c r="E613" s="18"/>
      <c r="F613" s="18"/>
      <c r="G613" s="18"/>
      <c r="H613" s="274"/>
      <c r="I613" s="18"/>
      <c r="J613" s="54"/>
      <c r="K613" s="18"/>
      <c r="L613" s="18"/>
    </row>
    <row r="614" spans="1:12">
      <c r="A614" s="50"/>
      <c r="B614" s="18"/>
      <c r="D614" s="18"/>
      <c r="E614" s="18"/>
      <c r="F614" s="18"/>
      <c r="G614" s="18"/>
      <c r="H614" s="274"/>
      <c r="I614" s="18"/>
      <c r="J614" s="54"/>
      <c r="K614" s="18"/>
      <c r="L614" s="18"/>
    </row>
    <row r="615" spans="1:12">
      <c r="A615" s="50"/>
      <c r="B615" s="18"/>
      <c r="D615" s="18"/>
      <c r="E615" s="18"/>
      <c r="F615" s="18"/>
      <c r="G615" s="18"/>
      <c r="H615" s="274"/>
      <c r="I615" s="18"/>
      <c r="J615" s="54"/>
      <c r="K615" s="18"/>
      <c r="L615" s="18"/>
    </row>
    <row r="616" spans="1:12">
      <c r="A616" s="50"/>
      <c r="B616" s="18"/>
      <c r="D616" s="18"/>
      <c r="E616" s="18"/>
      <c r="F616" s="18"/>
      <c r="G616" s="18"/>
      <c r="H616" s="274"/>
      <c r="I616" s="18"/>
      <c r="J616" s="54"/>
      <c r="K616" s="18"/>
      <c r="L616" s="18"/>
    </row>
    <row r="617" spans="1:12">
      <c r="A617" s="50"/>
      <c r="B617" s="18"/>
      <c r="D617" s="18"/>
      <c r="E617" s="18"/>
      <c r="F617" s="18"/>
      <c r="G617" s="18"/>
      <c r="H617" s="274"/>
      <c r="I617" s="18"/>
      <c r="J617" s="54"/>
      <c r="K617" s="18"/>
      <c r="L617" s="18"/>
    </row>
    <row r="618" spans="1:12">
      <c r="A618" s="50"/>
      <c r="B618" s="18"/>
      <c r="D618" s="18"/>
      <c r="E618" s="18"/>
      <c r="F618" s="18"/>
      <c r="G618" s="18"/>
      <c r="H618" s="274"/>
      <c r="I618" s="18"/>
      <c r="J618" s="54"/>
      <c r="K618" s="18"/>
      <c r="L618" s="18"/>
    </row>
    <row r="619" spans="1:12">
      <c r="A619" s="50"/>
      <c r="B619" s="18"/>
      <c r="D619" s="18"/>
      <c r="E619" s="18"/>
      <c r="F619" s="18"/>
      <c r="G619" s="18"/>
      <c r="H619" s="274"/>
      <c r="I619" s="18"/>
      <c r="J619" s="54"/>
      <c r="K619" s="18"/>
      <c r="L619" s="18"/>
    </row>
    <row r="620" spans="1:12">
      <c r="A620" s="50"/>
      <c r="B620" s="18"/>
      <c r="D620" s="18"/>
      <c r="E620" s="18"/>
      <c r="F620" s="18"/>
      <c r="G620" s="18"/>
      <c r="H620" s="274"/>
      <c r="I620" s="18"/>
      <c r="J620" s="54"/>
      <c r="K620" s="18"/>
      <c r="L620" s="18"/>
    </row>
    <row r="621" spans="1:12">
      <c r="A621" s="50"/>
      <c r="B621" s="18"/>
      <c r="D621" s="18"/>
      <c r="E621" s="18"/>
      <c r="F621" s="18"/>
      <c r="G621" s="18"/>
      <c r="H621" s="274"/>
      <c r="I621" s="18"/>
      <c r="J621" s="54"/>
      <c r="K621" s="18"/>
      <c r="L621" s="18"/>
    </row>
    <row r="622" spans="1:12">
      <c r="A622" s="50"/>
      <c r="B622" s="18"/>
      <c r="D622" s="18"/>
      <c r="E622" s="18"/>
      <c r="F622" s="18"/>
      <c r="G622" s="18"/>
      <c r="H622" s="274"/>
      <c r="I622" s="18"/>
      <c r="J622" s="54"/>
      <c r="K622" s="18"/>
      <c r="L622" s="18"/>
    </row>
    <row r="623" spans="1:12">
      <c r="A623" s="50"/>
      <c r="B623" s="18"/>
      <c r="D623" s="18"/>
      <c r="E623" s="18"/>
      <c r="F623" s="18"/>
      <c r="G623" s="18"/>
      <c r="H623" s="274"/>
      <c r="I623" s="18"/>
      <c r="J623" s="54"/>
      <c r="K623" s="18"/>
      <c r="L623" s="18"/>
    </row>
    <row r="624" spans="1:12">
      <c r="A624" s="50"/>
      <c r="B624" s="18"/>
      <c r="D624" s="18"/>
      <c r="E624" s="18"/>
      <c r="F624" s="18"/>
      <c r="G624" s="18"/>
      <c r="H624" s="274"/>
      <c r="I624" s="18"/>
      <c r="J624" s="54"/>
      <c r="K624" s="18"/>
      <c r="L624" s="18"/>
    </row>
    <row r="625" spans="1:12">
      <c r="A625" s="50"/>
      <c r="B625" s="18"/>
      <c r="D625" s="18"/>
      <c r="E625" s="18"/>
      <c r="F625" s="18"/>
      <c r="G625" s="18"/>
      <c r="H625" s="274"/>
      <c r="I625" s="18"/>
      <c r="J625" s="54"/>
      <c r="K625" s="18"/>
      <c r="L625" s="18"/>
    </row>
    <row r="626" spans="1:12">
      <c r="A626" s="50"/>
      <c r="B626" s="18"/>
      <c r="D626" s="18"/>
      <c r="E626" s="18"/>
      <c r="F626" s="18"/>
      <c r="G626" s="18"/>
      <c r="H626" s="274"/>
      <c r="I626" s="18"/>
      <c r="J626" s="54"/>
      <c r="K626" s="18"/>
      <c r="L626" s="18"/>
    </row>
    <row r="627" spans="1:12">
      <c r="A627" s="50"/>
      <c r="B627" s="18"/>
      <c r="D627" s="18"/>
      <c r="E627" s="18"/>
      <c r="F627" s="18"/>
      <c r="G627" s="18"/>
      <c r="H627" s="274"/>
      <c r="I627" s="18"/>
      <c r="J627" s="54"/>
      <c r="K627" s="18"/>
      <c r="L627" s="18"/>
    </row>
    <row r="628" spans="1:12">
      <c r="A628" s="50"/>
      <c r="B628" s="18"/>
      <c r="D628" s="18"/>
      <c r="E628" s="18"/>
      <c r="F628" s="18"/>
      <c r="G628" s="18"/>
      <c r="H628" s="274"/>
      <c r="I628" s="18"/>
      <c r="J628" s="54"/>
      <c r="K628" s="18"/>
      <c r="L628" s="18"/>
    </row>
    <row r="629" spans="1:12">
      <c r="A629" s="50"/>
      <c r="B629" s="18"/>
      <c r="D629" s="18"/>
      <c r="E629" s="18"/>
      <c r="F629" s="18"/>
      <c r="G629" s="18"/>
      <c r="H629" s="274"/>
      <c r="I629" s="18"/>
      <c r="J629" s="54"/>
      <c r="K629" s="18"/>
      <c r="L629" s="18"/>
    </row>
    <row r="630" spans="1:12">
      <c r="A630" s="50"/>
      <c r="B630" s="18"/>
      <c r="D630" s="18"/>
      <c r="E630" s="18"/>
      <c r="F630" s="18"/>
      <c r="G630" s="18"/>
      <c r="H630" s="274"/>
      <c r="I630" s="18"/>
      <c r="J630" s="54"/>
      <c r="K630" s="18"/>
      <c r="L630" s="18"/>
    </row>
    <row r="631" spans="1:12">
      <c r="A631" s="50"/>
      <c r="B631" s="18"/>
      <c r="D631" s="18"/>
      <c r="E631" s="18"/>
      <c r="F631" s="18"/>
      <c r="G631" s="18"/>
      <c r="H631" s="274"/>
      <c r="I631" s="18"/>
      <c r="J631" s="54"/>
      <c r="K631" s="18"/>
      <c r="L631" s="18"/>
    </row>
    <row r="632" spans="1:12">
      <c r="A632" s="50"/>
      <c r="B632" s="18"/>
      <c r="D632" s="18"/>
      <c r="E632" s="18"/>
      <c r="F632" s="18"/>
      <c r="G632" s="18"/>
      <c r="H632" s="274"/>
      <c r="I632" s="18"/>
      <c r="J632" s="54"/>
      <c r="K632" s="18"/>
      <c r="L632" s="18"/>
    </row>
    <row r="633" spans="1:12">
      <c r="A633" s="50"/>
      <c r="B633" s="18"/>
      <c r="D633" s="18"/>
      <c r="E633" s="18"/>
      <c r="F633" s="18"/>
      <c r="G633" s="18"/>
      <c r="H633" s="274"/>
      <c r="I633" s="18"/>
      <c r="J633" s="54"/>
      <c r="K633" s="18"/>
      <c r="L633" s="18"/>
    </row>
    <row r="634" spans="1:12">
      <c r="A634" s="50"/>
      <c r="B634" s="18"/>
      <c r="D634" s="18"/>
      <c r="E634" s="18"/>
      <c r="F634" s="18"/>
      <c r="G634" s="18"/>
      <c r="H634" s="274"/>
      <c r="I634" s="18"/>
      <c r="J634" s="54"/>
      <c r="K634" s="18"/>
      <c r="L634" s="18"/>
    </row>
    <row r="635" spans="1:12">
      <c r="A635" s="50"/>
      <c r="B635" s="18"/>
      <c r="D635" s="18"/>
      <c r="E635" s="18"/>
      <c r="F635" s="18"/>
      <c r="G635" s="18"/>
      <c r="H635" s="274"/>
      <c r="I635" s="18"/>
      <c r="J635" s="54"/>
      <c r="K635" s="18"/>
      <c r="L635" s="18"/>
    </row>
    <row r="636" spans="1:12">
      <c r="A636" s="50"/>
      <c r="B636" s="18"/>
      <c r="D636" s="18"/>
      <c r="E636" s="18"/>
      <c r="F636" s="18"/>
      <c r="G636" s="18"/>
      <c r="H636" s="274"/>
      <c r="I636" s="18"/>
      <c r="J636" s="54"/>
      <c r="K636" s="18"/>
      <c r="L636" s="18"/>
    </row>
    <row r="637" spans="1:12">
      <c r="A637" s="50"/>
      <c r="B637" s="18"/>
      <c r="D637" s="18"/>
      <c r="E637" s="18"/>
      <c r="F637" s="18"/>
      <c r="G637" s="18"/>
      <c r="H637" s="274"/>
      <c r="I637" s="18"/>
      <c r="J637" s="54"/>
      <c r="K637" s="18"/>
      <c r="L637" s="18"/>
    </row>
    <row r="638" spans="1:12">
      <c r="A638" s="50"/>
      <c r="B638" s="18"/>
      <c r="D638" s="18"/>
      <c r="E638" s="18"/>
      <c r="F638" s="18"/>
      <c r="G638" s="18"/>
      <c r="H638" s="274"/>
      <c r="I638" s="18"/>
      <c r="J638" s="54"/>
      <c r="K638" s="18"/>
      <c r="L638" s="18"/>
    </row>
    <row r="639" spans="1:12">
      <c r="A639" s="50"/>
      <c r="B639" s="18"/>
      <c r="D639" s="18"/>
      <c r="E639" s="18"/>
      <c r="F639" s="18"/>
      <c r="G639" s="18"/>
      <c r="H639" s="274"/>
      <c r="I639" s="18"/>
      <c r="J639" s="54"/>
      <c r="K639" s="18"/>
      <c r="L639" s="18"/>
    </row>
    <row r="640" spans="1:12">
      <c r="A640" s="50"/>
      <c r="B640" s="18"/>
      <c r="D640" s="18"/>
      <c r="E640" s="18"/>
      <c r="F640" s="18"/>
      <c r="G640" s="18"/>
      <c r="H640" s="274"/>
      <c r="I640" s="18"/>
      <c r="J640" s="54"/>
      <c r="K640" s="18"/>
      <c r="L640" s="18"/>
    </row>
    <row r="641" spans="1:12">
      <c r="A641" s="50"/>
      <c r="B641" s="18"/>
      <c r="D641" s="18"/>
      <c r="E641" s="18"/>
      <c r="F641" s="18"/>
      <c r="G641" s="18"/>
      <c r="H641" s="274"/>
      <c r="I641" s="18"/>
      <c r="J641" s="54"/>
      <c r="K641" s="18"/>
      <c r="L641" s="18"/>
    </row>
    <row r="642" spans="1:12">
      <c r="A642" s="50"/>
      <c r="B642" s="18"/>
      <c r="D642" s="18"/>
      <c r="E642" s="18"/>
      <c r="F642" s="18"/>
      <c r="G642" s="18"/>
      <c r="H642" s="274"/>
      <c r="I642" s="18"/>
      <c r="J642" s="54"/>
      <c r="K642" s="18"/>
      <c r="L642" s="18"/>
    </row>
    <row r="643" spans="1:12">
      <c r="A643" s="50"/>
      <c r="B643" s="18"/>
      <c r="D643" s="18"/>
      <c r="E643" s="18"/>
      <c r="F643" s="18"/>
      <c r="G643" s="18"/>
      <c r="H643" s="274"/>
      <c r="I643" s="18"/>
      <c r="J643" s="54"/>
      <c r="K643" s="18"/>
      <c r="L643" s="18"/>
    </row>
    <row r="644" spans="1:12">
      <c r="A644" s="50"/>
      <c r="B644" s="18"/>
      <c r="D644" s="18"/>
      <c r="E644" s="18"/>
      <c r="F644" s="18"/>
      <c r="G644" s="18"/>
      <c r="H644" s="274"/>
      <c r="I644" s="18"/>
      <c r="J644" s="54"/>
      <c r="K644" s="18"/>
      <c r="L644" s="18"/>
    </row>
    <row r="645" spans="1:12">
      <c r="A645" s="50"/>
      <c r="B645" s="18"/>
      <c r="D645" s="18"/>
      <c r="E645" s="18"/>
      <c r="F645" s="18"/>
      <c r="G645" s="18"/>
      <c r="H645" s="274"/>
      <c r="I645" s="18"/>
      <c r="J645" s="54"/>
      <c r="K645" s="18"/>
      <c r="L645" s="18"/>
    </row>
    <row r="646" spans="1:12">
      <c r="A646" s="50"/>
      <c r="B646" s="18"/>
      <c r="D646" s="18"/>
      <c r="E646" s="18"/>
      <c r="F646" s="18"/>
      <c r="G646" s="18"/>
      <c r="H646" s="274"/>
      <c r="I646" s="18"/>
      <c r="J646" s="54"/>
      <c r="K646" s="18"/>
      <c r="L646" s="18"/>
    </row>
    <row r="647" spans="1:12">
      <c r="A647" s="50"/>
      <c r="B647" s="18"/>
      <c r="D647" s="18"/>
      <c r="E647" s="18"/>
      <c r="F647" s="18"/>
      <c r="G647" s="18"/>
      <c r="H647" s="274"/>
      <c r="I647" s="18"/>
      <c r="J647" s="54"/>
      <c r="K647" s="18"/>
      <c r="L647" s="18"/>
    </row>
    <row r="648" spans="1:12">
      <c r="A648" s="50"/>
      <c r="B648" s="18"/>
      <c r="D648" s="18"/>
      <c r="E648" s="18"/>
      <c r="F648" s="18"/>
      <c r="G648" s="18"/>
      <c r="H648" s="274"/>
      <c r="I648" s="18"/>
      <c r="J648" s="54"/>
      <c r="K648" s="18"/>
      <c r="L648" s="18"/>
    </row>
    <row r="649" spans="1:12">
      <c r="A649" s="50"/>
      <c r="B649" s="18"/>
      <c r="D649" s="18"/>
      <c r="E649" s="18"/>
      <c r="F649" s="18"/>
      <c r="G649" s="18"/>
      <c r="H649" s="274"/>
      <c r="I649" s="18"/>
      <c r="J649" s="54"/>
      <c r="K649" s="18"/>
      <c r="L649" s="18"/>
    </row>
    <row r="650" spans="1:12">
      <c r="A650" s="50"/>
      <c r="B650" s="18"/>
      <c r="D650" s="18"/>
      <c r="E650" s="18"/>
      <c r="F650" s="18"/>
      <c r="G650" s="18"/>
      <c r="H650" s="274"/>
      <c r="I650" s="18"/>
      <c r="J650" s="54"/>
      <c r="K650" s="18"/>
      <c r="L650" s="18"/>
    </row>
    <row r="651" spans="1:12">
      <c r="A651" s="50"/>
      <c r="B651" s="18"/>
      <c r="D651" s="18"/>
      <c r="E651" s="18"/>
      <c r="F651" s="18"/>
      <c r="G651" s="18"/>
      <c r="H651" s="274"/>
      <c r="I651" s="18"/>
      <c r="J651" s="54"/>
      <c r="K651" s="18"/>
      <c r="L651" s="18"/>
    </row>
    <row r="652" spans="1:12">
      <c r="A652" s="50"/>
      <c r="B652" s="18"/>
      <c r="D652" s="18"/>
      <c r="E652" s="18"/>
      <c r="F652" s="18"/>
      <c r="G652" s="18"/>
      <c r="H652" s="274"/>
      <c r="I652" s="18"/>
      <c r="J652" s="54"/>
      <c r="K652" s="18"/>
      <c r="L652" s="18"/>
    </row>
    <row r="653" spans="1:12">
      <c r="A653" s="50"/>
      <c r="B653" s="18"/>
      <c r="D653" s="18"/>
      <c r="E653" s="18"/>
      <c r="F653" s="18"/>
      <c r="G653" s="18"/>
      <c r="H653" s="274"/>
      <c r="I653" s="18"/>
      <c r="J653" s="54"/>
      <c r="K653" s="18"/>
      <c r="L653" s="18"/>
    </row>
    <row r="654" spans="1:12">
      <c r="A654" s="50"/>
      <c r="B654" s="18"/>
      <c r="D654" s="18"/>
      <c r="E654" s="18"/>
      <c r="F654" s="18"/>
      <c r="G654" s="18"/>
      <c r="H654" s="274"/>
      <c r="I654" s="18"/>
      <c r="J654" s="54"/>
      <c r="K654" s="18"/>
      <c r="L654" s="18"/>
    </row>
  </sheetData>
  <autoFilter ref="A8:L545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56299212600000004" bottom="0.24803149599999999" header="0.66929133858267698" footer="0.31496062992126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F478"/>
  <sheetViews>
    <sheetView topLeftCell="A4" zoomScaleNormal="100" zoomScaleSheetLayoutView="100" workbookViewId="0">
      <selection activeCell="A4" sqref="A4:L4"/>
    </sheetView>
  </sheetViews>
  <sheetFormatPr defaultColWidth="9.109375" defaultRowHeight="15"/>
  <cols>
    <col min="1" max="1" width="3.88671875" style="40" customWidth="1"/>
    <col min="2" max="2" width="43" style="42" customWidth="1"/>
    <col min="3" max="3" width="9.6640625" style="18" customWidth="1"/>
    <col min="4" max="4" width="7.33203125" style="60" customWidth="1"/>
    <col min="5" max="5" width="9" style="60" customWidth="1"/>
    <col min="6" max="6" width="8.6640625" style="60" customWidth="1"/>
    <col min="7" max="7" width="8.44140625" style="60" customWidth="1"/>
    <col min="8" max="8" width="8" style="279" customWidth="1"/>
    <col min="9" max="9" width="9" style="60" customWidth="1"/>
    <col min="10" max="10" width="8.109375" style="224" customWidth="1"/>
    <col min="11" max="11" width="8.33203125" style="60" customWidth="1"/>
    <col min="12" max="12" width="11.5546875" style="60" customWidth="1"/>
    <col min="13" max="25" width="9.109375" style="367"/>
    <col min="26" max="16384" width="9.109375" style="1"/>
  </cols>
  <sheetData>
    <row r="1" spans="1:32">
      <c r="A1" s="61"/>
      <c r="B1" s="62"/>
      <c r="C1" s="62"/>
      <c r="D1" s="62"/>
      <c r="E1" s="62"/>
      <c r="F1" s="62"/>
      <c r="G1" s="62"/>
      <c r="H1" s="268"/>
      <c r="I1" s="62"/>
      <c r="J1" s="66"/>
      <c r="K1" s="62"/>
      <c r="L1" s="62"/>
    </row>
    <row r="2" spans="1:32" ht="16.5" customHeight="1">
      <c r="A2" s="1196" t="s">
        <v>440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</row>
    <row r="3" spans="1:32" ht="19.8">
      <c r="A3" s="63"/>
      <c r="B3" s="64"/>
      <c r="C3" s="65"/>
      <c r="D3" s="65"/>
      <c r="E3" s="65"/>
      <c r="F3" s="65"/>
      <c r="G3" s="65"/>
      <c r="H3" s="269"/>
      <c r="I3" s="65"/>
      <c r="J3" s="67"/>
      <c r="K3" s="65"/>
      <c r="L3" s="65"/>
    </row>
    <row r="4" spans="1:32" ht="17.399999999999999" customHeight="1">
      <c r="A4" s="1196" t="s">
        <v>338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</row>
    <row r="5" spans="1:32" ht="19.8">
      <c r="A5" s="63"/>
      <c r="B5" s="64"/>
      <c r="C5" s="65"/>
      <c r="D5" s="65"/>
      <c r="E5" s="65"/>
      <c r="F5" s="65"/>
      <c r="G5" s="65"/>
      <c r="H5" s="269"/>
      <c r="I5" s="65"/>
      <c r="J5" s="67"/>
      <c r="K5" s="65"/>
      <c r="L5" s="65"/>
    </row>
    <row r="6" spans="1:32" ht="27" customHeight="1">
      <c r="A6" s="1182" t="s">
        <v>13</v>
      </c>
      <c r="B6" s="1182" t="s">
        <v>27</v>
      </c>
      <c r="C6" s="1182" t="s">
        <v>32</v>
      </c>
      <c r="D6" s="1197" t="s">
        <v>33</v>
      </c>
      <c r="E6" s="1198"/>
      <c r="F6" s="1182" t="s">
        <v>34</v>
      </c>
      <c r="G6" s="1182"/>
      <c r="H6" s="1182" t="s">
        <v>35</v>
      </c>
      <c r="I6" s="1182"/>
      <c r="J6" s="1182" t="s">
        <v>36</v>
      </c>
      <c r="K6" s="1182"/>
      <c r="L6" s="1194" t="s">
        <v>37</v>
      </c>
    </row>
    <row r="7" spans="1:32" ht="30">
      <c r="A7" s="1182"/>
      <c r="B7" s="1182"/>
      <c r="C7" s="1182"/>
      <c r="D7" s="70" t="s">
        <v>38</v>
      </c>
      <c r="E7" s="947" t="s">
        <v>22</v>
      </c>
      <c r="F7" s="70" t="s">
        <v>39</v>
      </c>
      <c r="G7" s="947" t="s">
        <v>40</v>
      </c>
      <c r="H7" s="946" t="s">
        <v>39</v>
      </c>
      <c r="I7" s="947" t="s">
        <v>40</v>
      </c>
      <c r="J7" s="70" t="s">
        <v>39</v>
      </c>
      <c r="K7" s="947" t="s">
        <v>40</v>
      </c>
      <c r="L7" s="1195"/>
    </row>
    <row r="8" spans="1:32" ht="14.4">
      <c r="A8" s="71">
        <v>1</v>
      </c>
      <c r="B8" s="71">
        <v>2</v>
      </c>
      <c r="C8" s="72">
        <v>3</v>
      </c>
      <c r="D8" s="71">
        <v>4</v>
      </c>
      <c r="E8" s="71">
        <v>5</v>
      </c>
      <c r="F8" s="71">
        <v>6</v>
      </c>
      <c r="G8" s="73">
        <v>7</v>
      </c>
      <c r="H8" s="270">
        <v>8</v>
      </c>
      <c r="I8" s="73">
        <v>9</v>
      </c>
      <c r="J8" s="71">
        <v>10</v>
      </c>
      <c r="K8" s="71">
        <v>11</v>
      </c>
      <c r="L8" s="71">
        <v>12</v>
      </c>
    </row>
    <row r="9" spans="1:32" ht="14.4">
      <c r="A9" s="966"/>
      <c r="B9" s="971" t="s">
        <v>17</v>
      </c>
      <c r="C9" s="968"/>
      <c r="D9" s="967"/>
      <c r="E9" s="967"/>
      <c r="F9" s="967"/>
      <c r="G9" s="969"/>
      <c r="H9" s="970"/>
      <c r="I9" s="969"/>
      <c r="J9" s="967"/>
      <c r="K9" s="967"/>
      <c r="L9" s="967"/>
    </row>
    <row r="10" spans="1:32" s="11" customFormat="1" ht="47.4">
      <c r="A10" s="983">
        <v>1</v>
      </c>
      <c r="B10" s="984" t="s">
        <v>389</v>
      </c>
      <c r="C10" s="983" t="s">
        <v>330</v>
      </c>
      <c r="D10" s="983"/>
      <c r="E10" s="985">
        <f>52.8+3.33+2.91</f>
        <v>59.039999999999992</v>
      </c>
      <c r="F10" s="986"/>
      <c r="G10" s="986"/>
      <c r="H10" s="987"/>
      <c r="I10" s="986"/>
      <c r="J10" s="986"/>
      <c r="K10" s="986"/>
      <c r="L10" s="986"/>
      <c r="M10" s="265"/>
      <c r="N10" s="265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</row>
    <row r="11" spans="1:32" s="11" customFormat="1">
      <c r="A11" s="974"/>
      <c r="B11" s="815" t="s">
        <v>42</v>
      </c>
      <c r="C11" s="822" t="s">
        <v>43</v>
      </c>
      <c r="D11" s="824">
        <v>1.54E-2</v>
      </c>
      <c r="E11" s="817">
        <f>D11*E10</f>
        <v>0.90921599999999991</v>
      </c>
      <c r="F11" s="814"/>
      <c r="G11" s="814"/>
      <c r="H11" s="964">
        <v>6</v>
      </c>
      <c r="I11" s="818">
        <f>H11*E11</f>
        <v>5.4552959999999997</v>
      </c>
      <c r="J11" s="814"/>
      <c r="K11" s="818"/>
      <c r="L11" s="818">
        <f>K11+I11+G11</f>
        <v>5.4552959999999997</v>
      </c>
      <c r="M11" s="265"/>
      <c r="N11" s="265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</row>
    <row r="12" spans="1:32" s="11" customFormat="1">
      <c r="A12" s="874"/>
      <c r="B12" s="972" t="s">
        <v>331</v>
      </c>
      <c r="C12" s="972" t="s">
        <v>276</v>
      </c>
      <c r="D12" s="972"/>
      <c r="E12" s="975">
        <v>1</v>
      </c>
      <c r="F12" s="972"/>
      <c r="G12" s="972"/>
      <c r="H12" s="973"/>
      <c r="I12" s="972"/>
      <c r="J12" s="818">
        <f>500/1.18</f>
        <v>423.72881355932208</v>
      </c>
      <c r="K12" s="818">
        <f>E12*J12</f>
        <v>423.72881355932208</v>
      </c>
      <c r="L12" s="818">
        <f>K12+I12+G12</f>
        <v>423.72881355932208</v>
      </c>
      <c r="M12" s="265"/>
      <c r="N12" s="265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</row>
    <row r="13" spans="1:32" s="11" customFormat="1">
      <c r="A13" s="874"/>
      <c r="B13" s="976"/>
      <c r="C13" s="874"/>
      <c r="D13" s="874"/>
      <c r="E13" s="874"/>
      <c r="F13" s="972"/>
      <c r="G13" s="972"/>
      <c r="H13" s="973"/>
      <c r="I13" s="977"/>
      <c r="J13" s="977"/>
      <c r="K13" s="818"/>
      <c r="L13" s="818"/>
      <c r="M13" s="265"/>
      <c r="N13" s="265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</row>
    <row r="14" spans="1:32" s="11" customFormat="1" ht="17.399999999999999">
      <c r="A14" s="988">
        <v>2</v>
      </c>
      <c r="B14" s="984" t="s">
        <v>332</v>
      </c>
      <c r="C14" s="983" t="s">
        <v>143</v>
      </c>
      <c r="D14" s="988"/>
      <c r="E14" s="989">
        <f>E10*0.07</f>
        <v>4.1327999999999996</v>
      </c>
      <c r="F14" s="986"/>
      <c r="G14" s="986"/>
      <c r="H14" s="987"/>
      <c r="I14" s="990"/>
      <c r="J14" s="990"/>
      <c r="K14" s="990"/>
      <c r="L14" s="990"/>
      <c r="M14" s="265"/>
      <c r="N14" s="265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s="11" customFormat="1">
      <c r="A15" s="974"/>
      <c r="B15" s="976" t="s">
        <v>52</v>
      </c>
      <c r="C15" s="874" t="s">
        <v>43</v>
      </c>
      <c r="D15" s="974">
        <v>1.54</v>
      </c>
      <c r="E15" s="978">
        <f>D15*E14</f>
        <v>6.3645119999999995</v>
      </c>
      <c r="F15" s="972"/>
      <c r="G15" s="972"/>
      <c r="H15" s="973">
        <v>6</v>
      </c>
      <c r="I15" s="977">
        <f>H15*E15</f>
        <v>38.187072000000001</v>
      </c>
      <c r="J15" s="977"/>
      <c r="K15" s="977"/>
      <c r="L15" s="977">
        <f>K15+I15+G15</f>
        <v>38.187072000000001</v>
      </c>
      <c r="M15" s="265"/>
      <c r="N15" s="265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 s="979" customFormat="1" ht="16.2">
      <c r="A16" s="814"/>
      <c r="B16" s="819"/>
      <c r="C16" s="814"/>
      <c r="D16" s="822"/>
      <c r="E16" s="824"/>
      <c r="F16" s="814"/>
      <c r="G16" s="814"/>
      <c r="H16" s="964"/>
      <c r="I16" s="818"/>
      <c r="J16" s="818"/>
      <c r="K16" s="818"/>
      <c r="L16" s="818"/>
      <c r="M16" s="302"/>
      <c r="N16" s="302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</row>
    <row r="17" spans="1:32" s="4" customFormat="1" ht="15.75" customHeight="1">
      <c r="A17" s="810">
        <v>3</v>
      </c>
      <c r="B17" s="853" t="s">
        <v>333</v>
      </c>
      <c r="C17" s="810" t="s">
        <v>143</v>
      </c>
      <c r="D17" s="991"/>
      <c r="E17" s="940">
        <v>2</v>
      </c>
      <c r="F17" s="810"/>
      <c r="G17" s="810"/>
      <c r="H17" s="992"/>
      <c r="I17" s="813"/>
      <c r="J17" s="813"/>
      <c r="K17" s="813"/>
      <c r="L17" s="813"/>
      <c r="M17" s="980"/>
      <c r="N17" s="980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</row>
    <row r="18" spans="1:32" s="11" customFormat="1" ht="15" customHeight="1">
      <c r="A18" s="974"/>
      <c r="B18" s="976" t="s">
        <v>52</v>
      </c>
      <c r="C18" s="874" t="s">
        <v>43</v>
      </c>
      <c r="D18" s="974">
        <v>1.8</v>
      </c>
      <c r="E18" s="978">
        <f>D18*E17</f>
        <v>3.6</v>
      </c>
      <c r="F18" s="972"/>
      <c r="G18" s="972"/>
      <c r="H18" s="973">
        <v>6</v>
      </c>
      <c r="I18" s="977">
        <f>H18*E18</f>
        <v>21.6</v>
      </c>
      <c r="J18" s="977"/>
      <c r="K18" s="977"/>
      <c r="L18" s="977">
        <f>K18+I18+G18</f>
        <v>21.6</v>
      </c>
      <c r="M18" s="265"/>
      <c r="N18" s="265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</row>
    <row r="19" spans="1:32" s="979" customFormat="1" ht="17.399999999999999">
      <c r="A19" s="814"/>
      <c r="B19" s="819" t="s">
        <v>126</v>
      </c>
      <c r="C19" s="868" t="s">
        <v>334</v>
      </c>
      <c r="D19" s="866">
        <v>1.1000000000000001</v>
      </c>
      <c r="E19" s="824">
        <f>D19*E17</f>
        <v>2.2000000000000002</v>
      </c>
      <c r="F19" s="814">
        <v>29.7</v>
      </c>
      <c r="G19" s="981">
        <f t="shared" ref="G19" si="0">E19*F19</f>
        <v>65.34</v>
      </c>
      <c r="H19" s="982"/>
      <c r="I19" s="982"/>
      <c r="J19" s="982"/>
      <c r="K19" s="982"/>
      <c r="L19" s="982">
        <f t="shared" ref="L19" si="1">K19+I19+G19</f>
        <v>65.34</v>
      </c>
      <c r="M19" s="302"/>
      <c r="N19" s="302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</row>
    <row r="20" spans="1:32" s="2" customFormat="1" ht="17.399999999999999">
      <c r="A20" s="828">
        <v>5</v>
      </c>
      <c r="B20" s="961" t="s">
        <v>329</v>
      </c>
      <c r="C20" s="812" t="s">
        <v>268</v>
      </c>
      <c r="D20" s="829"/>
      <c r="E20" s="829">
        <v>1.65</v>
      </c>
      <c r="F20" s="829"/>
      <c r="G20" s="829"/>
      <c r="H20" s="962"/>
      <c r="I20" s="829"/>
      <c r="J20" s="830"/>
      <c r="K20" s="829"/>
      <c r="L20" s="829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32" ht="17.399999999999999">
      <c r="A21" s="814"/>
      <c r="B21" s="963" t="s">
        <v>42</v>
      </c>
      <c r="C21" s="816" t="s">
        <v>150</v>
      </c>
      <c r="D21" s="868">
        <v>1</v>
      </c>
      <c r="E21" s="868">
        <f>D21*E20</f>
        <v>1.65</v>
      </c>
      <c r="F21" s="814"/>
      <c r="G21" s="814"/>
      <c r="H21" s="964">
        <v>125</v>
      </c>
      <c r="I21" s="814">
        <f>H21*E21</f>
        <v>206.25</v>
      </c>
      <c r="J21" s="814"/>
      <c r="K21" s="818"/>
      <c r="L21" s="818">
        <f>K21+I21+G21</f>
        <v>206.25</v>
      </c>
    </row>
    <row r="22" spans="1:32">
      <c r="A22" s="814"/>
      <c r="B22" s="963" t="s">
        <v>49</v>
      </c>
      <c r="C22" s="868" t="s">
        <v>2</v>
      </c>
      <c r="D22" s="957">
        <v>0.38500000000000001</v>
      </c>
      <c r="E22" s="965">
        <f>D22*E20</f>
        <v>0.63524999999999998</v>
      </c>
      <c r="F22" s="814"/>
      <c r="G22" s="814"/>
      <c r="H22" s="964"/>
      <c r="I22" s="814"/>
      <c r="J22" s="814">
        <v>4</v>
      </c>
      <c r="K22" s="814">
        <f>E22*J22</f>
        <v>2.5409999999999999</v>
      </c>
      <c r="L22" s="818">
        <f>K22+I22+G22</f>
        <v>2.5409999999999999</v>
      </c>
    </row>
    <row r="23" spans="1:32" s="17" customFormat="1" ht="17.399999999999999">
      <c r="A23" s="814"/>
      <c r="B23" s="832" t="s">
        <v>155</v>
      </c>
      <c r="C23" s="816" t="s">
        <v>150</v>
      </c>
      <c r="D23" s="833">
        <v>1.0149999999999999</v>
      </c>
      <c r="E23" s="834">
        <f>D23*E20</f>
        <v>1.6747499999999997</v>
      </c>
      <c r="F23" s="827">
        <f>148/1.18</f>
        <v>125.42372881355932</v>
      </c>
      <c r="G23" s="824">
        <f>E23*F23</f>
        <v>210.05338983050845</v>
      </c>
      <c r="H23" s="814"/>
      <c r="I23" s="818"/>
      <c r="J23" s="814"/>
      <c r="K23" s="814"/>
      <c r="L23" s="818">
        <f>K23+I23+G23</f>
        <v>210.05338983050845</v>
      </c>
    </row>
    <row r="24" spans="1:32" s="255" customFormat="1" ht="14.25" customHeight="1">
      <c r="A24" s="822"/>
      <c r="B24" s="835" t="s">
        <v>282</v>
      </c>
      <c r="C24" s="814" t="s">
        <v>47</v>
      </c>
      <c r="D24" s="826"/>
      <c r="E24" s="838">
        <v>1.7999999999999999E-2</v>
      </c>
      <c r="F24" s="843">
        <v>2595</v>
      </c>
      <c r="G24" s="818">
        <f>F24*E24</f>
        <v>46.709999999999994</v>
      </c>
      <c r="H24" s="825"/>
      <c r="I24" s="826"/>
      <c r="J24" s="831"/>
      <c r="K24" s="831"/>
      <c r="L24" s="818">
        <f t="shared" ref="L24" si="2">K24+I24+G24</f>
        <v>46.709999999999994</v>
      </c>
    </row>
    <row r="25" spans="1:32" ht="17.399999999999999">
      <c r="A25" s="966"/>
      <c r="B25" s="993" t="s">
        <v>55</v>
      </c>
      <c r="C25" s="816" t="s">
        <v>150</v>
      </c>
      <c r="D25" s="967">
        <v>7.4999999999999997E-2</v>
      </c>
      <c r="E25" s="967">
        <f>D25*E20</f>
        <v>0.12374999999999999</v>
      </c>
      <c r="F25" s="967">
        <v>635.6</v>
      </c>
      <c r="G25" s="863">
        <f>F25*E25</f>
        <v>78.655499999999989</v>
      </c>
      <c r="H25" s="863"/>
      <c r="I25" s="864"/>
      <c r="J25" s="863"/>
      <c r="K25" s="864"/>
      <c r="L25" s="864">
        <f t="shared" ref="L25:L30" si="3">K25+I25+G25</f>
        <v>78.655499999999989</v>
      </c>
    </row>
    <row r="26" spans="1:32" ht="17.399999999999999">
      <c r="A26" s="966"/>
      <c r="B26" s="993" t="s">
        <v>394</v>
      </c>
      <c r="C26" s="816" t="s">
        <v>149</v>
      </c>
      <c r="D26" s="967"/>
      <c r="E26" s="967">
        <v>1.36</v>
      </c>
      <c r="F26" s="967">
        <v>185.49</v>
      </c>
      <c r="G26" s="863">
        <f>F26*E26</f>
        <v>252.26640000000003</v>
      </c>
      <c r="H26" s="863"/>
      <c r="I26" s="864"/>
      <c r="J26" s="863"/>
      <c r="K26" s="864"/>
      <c r="L26" s="864">
        <f t="shared" si="3"/>
        <v>252.26640000000003</v>
      </c>
    </row>
    <row r="27" spans="1:32" ht="17.399999999999999">
      <c r="A27" s="966"/>
      <c r="B27" s="993" t="s">
        <v>335</v>
      </c>
      <c r="C27" s="816" t="s">
        <v>149</v>
      </c>
      <c r="D27" s="967"/>
      <c r="E27" s="967">
        <v>0.78</v>
      </c>
      <c r="F27" s="967">
        <v>2.1</v>
      </c>
      <c r="G27" s="70">
        <f>E27*F27</f>
        <v>1.6380000000000001</v>
      </c>
      <c r="H27" s="259"/>
      <c r="I27" s="525"/>
      <c r="J27" s="525"/>
      <c r="K27" s="525"/>
      <c r="L27" s="70">
        <f t="shared" si="3"/>
        <v>1.6380000000000001</v>
      </c>
    </row>
    <row r="28" spans="1:32">
      <c r="A28" s="966"/>
      <c r="B28" s="993" t="s">
        <v>387</v>
      </c>
      <c r="C28" s="816" t="s">
        <v>93</v>
      </c>
      <c r="D28" s="967"/>
      <c r="E28" s="967">
        <v>1</v>
      </c>
      <c r="F28" s="967">
        <v>184.6</v>
      </c>
      <c r="G28" s="818">
        <f>E28*F28</f>
        <v>184.6</v>
      </c>
      <c r="H28" s="960"/>
      <c r="I28" s="839"/>
      <c r="J28" s="839"/>
      <c r="K28" s="839"/>
      <c r="L28" s="818">
        <f t="shared" si="3"/>
        <v>184.6</v>
      </c>
    </row>
    <row r="29" spans="1:32">
      <c r="A29" s="966"/>
      <c r="B29" s="1060" t="s">
        <v>388</v>
      </c>
      <c r="C29" s="816" t="s">
        <v>93</v>
      </c>
      <c r="D29" s="967"/>
      <c r="E29" s="967">
        <v>2</v>
      </c>
      <c r="F29" s="967">
        <v>8.9</v>
      </c>
      <c r="G29" s="818">
        <f>E29*F29</f>
        <v>17.8</v>
      </c>
      <c r="H29" s="960"/>
      <c r="I29" s="839"/>
      <c r="J29" s="839"/>
      <c r="K29" s="839"/>
      <c r="L29" s="818">
        <f t="shared" si="3"/>
        <v>17.8</v>
      </c>
    </row>
    <row r="30" spans="1:32">
      <c r="A30" s="525"/>
      <c r="B30" s="152" t="s">
        <v>51</v>
      </c>
      <c r="C30" s="149" t="s">
        <v>2</v>
      </c>
      <c r="D30" s="232">
        <v>1.99</v>
      </c>
      <c r="E30" s="233">
        <f>D30*E21</f>
        <v>3.2834999999999996</v>
      </c>
      <c r="F30" s="229">
        <v>4</v>
      </c>
      <c r="G30" s="70">
        <f>E30*F30</f>
        <v>13.133999999999999</v>
      </c>
      <c r="H30" s="259"/>
      <c r="I30" s="525"/>
      <c r="J30" s="525"/>
      <c r="K30" s="525"/>
      <c r="L30" s="70">
        <f t="shared" si="3"/>
        <v>13.133999999999999</v>
      </c>
    </row>
    <row r="31" spans="1:32" s="11" customFormat="1" ht="30">
      <c r="A31" s="321">
        <v>6</v>
      </c>
      <c r="B31" s="312" t="s">
        <v>68</v>
      </c>
      <c r="C31" s="321" t="s">
        <v>148</v>
      </c>
      <c r="D31" s="468"/>
      <c r="E31" s="453">
        <v>1.36</v>
      </c>
      <c r="F31" s="327"/>
      <c r="G31" s="328"/>
      <c r="H31" s="327"/>
      <c r="I31" s="328"/>
      <c r="J31" s="327"/>
      <c r="K31" s="328"/>
      <c r="L31" s="328"/>
      <c r="M31" s="153"/>
      <c r="N31" s="128"/>
      <c r="O31" s="189"/>
      <c r="P31" s="198"/>
      <c r="Q31" s="189"/>
      <c r="R31" s="189"/>
      <c r="S31" s="196"/>
      <c r="T31" s="284"/>
      <c r="U31" s="189"/>
      <c r="V31" s="189"/>
    </row>
    <row r="32" spans="1:32" s="11" customFormat="1" ht="17.399999999999999">
      <c r="A32" s="814"/>
      <c r="B32" s="835" t="s">
        <v>42</v>
      </c>
      <c r="C32" s="814" t="s">
        <v>149</v>
      </c>
      <c r="D32" s="867">
        <v>1</v>
      </c>
      <c r="E32" s="846">
        <f>D32*E31</f>
        <v>1.36</v>
      </c>
      <c r="F32" s="824"/>
      <c r="G32" s="818"/>
      <c r="H32" s="824">
        <v>6.25</v>
      </c>
      <c r="I32" s="818">
        <f>H32*E32</f>
        <v>8.5</v>
      </c>
      <c r="J32" s="824"/>
      <c r="K32" s="818"/>
      <c r="L32" s="818">
        <f>K32+I32+G32</f>
        <v>8.5</v>
      </c>
      <c r="M32" s="217"/>
      <c r="N32" s="128"/>
      <c r="O32" s="189"/>
      <c r="P32" s="198"/>
      <c r="Q32" s="189"/>
      <c r="R32" s="189"/>
      <c r="S32" s="257"/>
      <c r="T32" s="284"/>
      <c r="U32" s="189"/>
      <c r="V32" s="189"/>
    </row>
    <row r="33" spans="1:22" s="11" customFormat="1">
      <c r="A33" s="116"/>
      <c r="B33" s="121" t="s">
        <v>49</v>
      </c>
      <c r="C33" s="947" t="s">
        <v>66</v>
      </c>
      <c r="D33" s="703">
        <v>2.9999999999999997E-4</v>
      </c>
      <c r="E33" s="101">
        <f>D33*E31</f>
        <v>4.08E-4</v>
      </c>
      <c r="F33" s="100"/>
      <c r="G33" s="154"/>
      <c r="H33" s="101"/>
      <c r="I33" s="136"/>
      <c r="J33" s="101">
        <v>4</v>
      </c>
      <c r="K33" s="127">
        <f>J33*E33</f>
        <v>1.632E-3</v>
      </c>
      <c r="L33" s="127">
        <f>K33+I33+G33</f>
        <v>1.632E-3</v>
      </c>
      <c r="M33" s="217"/>
      <c r="N33" s="128"/>
      <c r="O33" s="189"/>
      <c r="P33" s="198"/>
      <c r="Q33" s="189"/>
      <c r="R33" s="189"/>
      <c r="S33" s="189"/>
      <c r="T33" s="284"/>
      <c r="U33" s="189"/>
      <c r="V33" s="189"/>
    </row>
    <row r="34" spans="1:22" s="11" customFormat="1">
      <c r="A34" s="814"/>
      <c r="B34" s="832" t="s">
        <v>350</v>
      </c>
      <c r="C34" s="814" t="s">
        <v>57</v>
      </c>
      <c r="D34" s="838">
        <f>(25.1+0.2+2.7)*0.01</f>
        <v>0.28000000000000003</v>
      </c>
      <c r="E34" s="838">
        <f>D34*E31</f>
        <v>0.38080000000000008</v>
      </c>
      <c r="F34" s="824">
        <v>27.2</v>
      </c>
      <c r="G34" s="818">
        <f>F34*E34</f>
        <v>10.357760000000003</v>
      </c>
      <c r="H34" s="824"/>
      <c r="I34" s="818"/>
      <c r="J34" s="824"/>
      <c r="K34" s="818"/>
      <c r="L34" s="818">
        <f>K34+I34+G34</f>
        <v>10.357760000000003</v>
      </c>
      <c r="M34" s="1199"/>
      <c r="N34" s="1200"/>
      <c r="O34" s="189"/>
      <c r="P34" s="198"/>
      <c r="Q34" s="189"/>
      <c r="R34" s="189"/>
      <c r="S34" s="189"/>
      <c r="T34" s="284"/>
      <c r="U34" s="189"/>
      <c r="V34" s="189"/>
    </row>
    <row r="35" spans="1:22" s="367" customFormat="1" ht="21.9" customHeight="1">
      <c r="A35" s="814"/>
      <c r="B35" s="832" t="s">
        <v>69</v>
      </c>
      <c r="C35" s="850" t="s">
        <v>57</v>
      </c>
      <c r="D35" s="851">
        <v>0.15</v>
      </c>
      <c r="E35" s="852">
        <f>D35*E31</f>
        <v>0.20400000000000001</v>
      </c>
      <c r="F35" s="818">
        <v>5</v>
      </c>
      <c r="G35" s="818">
        <f>F35*E35</f>
        <v>1.02</v>
      </c>
      <c r="H35" s="814"/>
      <c r="I35" s="818"/>
      <c r="J35" s="814"/>
      <c r="K35" s="814"/>
      <c r="L35" s="818">
        <f>K35+I35+G35</f>
        <v>1.02</v>
      </c>
      <c r="M35" s="253"/>
    </row>
    <row r="36" spans="1:22" s="11" customFormat="1">
      <c r="A36" s="116"/>
      <c r="B36" s="155" t="s">
        <v>51</v>
      </c>
      <c r="C36" s="947" t="s">
        <v>2</v>
      </c>
      <c r="D36" s="703">
        <v>1.9E-3</v>
      </c>
      <c r="E36" s="101">
        <f>D36*E31</f>
        <v>2.5840000000000004E-3</v>
      </c>
      <c r="F36" s="101">
        <v>4</v>
      </c>
      <c r="G36" s="127">
        <f>F36*E36</f>
        <v>1.0336000000000001E-2</v>
      </c>
      <c r="H36" s="101"/>
      <c r="I36" s="136"/>
      <c r="J36" s="135"/>
      <c r="K36" s="136"/>
      <c r="L36" s="127">
        <f>K36+I36+G36</f>
        <v>1.0336000000000001E-2</v>
      </c>
      <c r="M36" s="217"/>
      <c r="N36" s="128"/>
      <c r="O36" s="189"/>
      <c r="P36" s="198"/>
      <c r="Q36" s="189"/>
      <c r="R36" s="189"/>
      <c r="S36" s="189"/>
      <c r="T36" s="284"/>
      <c r="U36" s="189"/>
      <c r="V36" s="189"/>
    </row>
    <row r="37" spans="1:22">
      <c r="A37" s="539">
        <v>7</v>
      </c>
      <c r="B37" s="332" t="s">
        <v>392</v>
      </c>
      <c r="C37" s="728" t="s">
        <v>65</v>
      </c>
      <c r="D37" s="708"/>
      <c r="E37" s="729">
        <v>14</v>
      </c>
      <c r="F37" s="724"/>
      <c r="G37" s="725"/>
      <c r="H37" s="726"/>
      <c r="I37" s="727"/>
      <c r="J37" s="727"/>
      <c r="K37" s="727"/>
      <c r="L37" s="725"/>
    </row>
    <row r="38" spans="1:22">
      <c r="A38" s="947"/>
      <c r="B38" s="231" t="s">
        <v>42</v>
      </c>
      <c r="C38" s="149" t="s">
        <v>43</v>
      </c>
      <c r="D38" s="149">
        <v>0.11899999999999999</v>
      </c>
      <c r="E38" s="149">
        <f>D38*E37</f>
        <v>1.6659999999999999</v>
      </c>
      <c r="F38" s="947"/>
      <c r="G38" s="947"/>
      <c r="H38" s="946">
        <v>4.5999999999999996</v>
      </c>
      <c r="I38" s="947">
        <f>H38*E38</f>
        <v>7.6635999999999989</v>
      </c>
      <c r="J38" s="947"/>
      <c r="K38" s="70"/>
      <c r="L38" s="70">
        <f>K38+I38+G38</f>
        <v>7.6635999999999989</v>
      </c>
    </row>
    <row r="39" spans="1:22">
      <c r="A39" s="947"/>
      <c r="B39" s="231" t="s">
        <v>49</v>
      </c>
      <c r="C39" s="149" t="s">
        <v>2</v>
      </c>
      <c r="D39" s="232">
        <v>6.7500000000000004E-2</v>
      </c>
      <c r="E39" s="242">
        <f>D39*E37</f>
        <v>0.94500000000000006</v>
      </c>
      <c r="F39" s="947"/>
      <c r="G39" s="947"/>
      <c r="H39" s="946"/>
      <c r="I39" s="947"/>
      <c r="J39" s="947">
        <v>4</v>
      </c>
      <c r="K39" s="947">
        <f>E39*J39</f>
        <v>3.7800000000000002</v>
      </c>
      <c r="L39" s="70">
        <f>K39+I39+G39</f>
        <v>3.7800000000000002</v>
      </c>
    </row>
    <row r="40" spans="1:22">
      <c r="A40" s="704"/>
      <c r="B40" s="720" t="s">
        <v>393</v>
      </c>
      <c r="C40" s="711" t="s">
        <v>65</v>
      </c>
      <c r="D40" s="232">
        <v>1</v>
      </c>
      <c r="E40" s="706">
        <f>D40*E37</f>
        <v>14</v>
      </c>
      <c r="F40" s="70">
        <v>11.44</v>
      </c>
      <c r="G40" s="70">
        <f>E40*F40</f>
        <v>160.16</v>
      </c>
      <c r="H40" s="259"/>
      <c r="I40" s="525"/>
      <c r="J40" s="525"/>
      <c r="K40" s="525"/>
      <c r="L40" s="70">
        <f>K40+I40+G40</f>
        <v>160.16</v>
      </c>
    </row>
    <row r="41" spans="1:22" ht="16.8">
      <c r="A41" s="704"/>
      <c r="B41" s="235" t="s">
        <v>244</v>
      </c>
      <c r="C41" s="149" t="s">
        <v>61</v>
      </c>
      <c r="D41" s="713"/>
      <c r="E41" s="706">
        <v>3</v>
      </c>
      <c r="F41" s="1064">
        <v>3.9</v>
      </c>
      <c r="G41" s="70">
        <f t="shared" ref="G41:G43" si="4">E41*F41</f>
        <v>11.7</v>
      </c>
      <c r="H41" s="259"/>
      <c r="I41" s="525"/>
      <c r="J41" s="525"/>
      <c r="K41" s="525"/>
      <c r="L41" s="70">
        <f t="shared" ref="L41:L43" si="5">K41+I41+G41</f>
        <v>11.7</v>
      </c>
    </row>
    <row r="42" spans="1:22" ht="16.8">
      <c r="A42" s="704"/>
      <c r="B42" s="235" t="s">
        <v>246</v>
      </c>
      <c r="C42" s="149" t="s">
        <v>61</v>
      </c>
      <c r="D42" s="713"/>
      <c r="E42" s="706">
        <v>4</v>
      </c>
      <c r="F42" s="1064">
        <v>3.6</v>
      </c>
      <c r="G42" s="70">
        <f t="shared" si="4"/>
        <v>14.4</v>
      </c>
      <c r="H42" s="259"/>
      <c r="I42" s="525"/>
      <c r="J42" s="525"/>
      <c r="K42" s="525"/>
      <c r="L42" s="70">
        <f t="shared" si="5"/>
        <v>14.4</v>
      </c>
    </row>
    <row r="43" spans="1:22" ht="16.8">
      <c r="A43" s="704"/>
      <c r="B43" s="235" t="s">
        <v>245</v>
      </c>
      <c r="C43" s="149" t="s">
        <v>61</v>
      </c>
      <c r="D43" s="713"/>
      <c r="E43" s="706">
        <v>1</v>
      </c>
      <c r="F43" s="1064">
        <v>8.9</v>
      </c>
      <c r="G43" s="70">
        <f t="shared" si="4"/>
        <v>8.9</v>
      </c>
      <c r="H43" s="259"/>
      <c r="I43" s="525"/>
      <c r="J43" s="525"/>
      <c r="K43" s="525"/>
      <c r="L43" s="70">
        <f t="shared" si="5"/>
        <v>8.9</v>
      </c>
    </row>
    <row r="44" spans="1:22">
      <c r="A44" s="525"/>
      <c r="B44" s="152" t="s">
        <v>51</v>
      </c>
      <c r="C44" s="149" t="s">
        <v>2</v>
      </c>
      <c r="D44" s="232">
        <v>5.9299999999999999E-2</v>
      </c>
      <c r="E44" s="233">
        <f>D44*E37</f>
        <v>0.83019999999999994</v>
      </c>
      <c r="F44" s="229">
        <v>4</v>
      </c>
      <c r="G44" s="70">
        <f>E44*F44</f>
        <v>3.3207999999999998</v>
      </c>
      <c r="H44" s="259"/>
      <c r="I44" s="525"/>
      <c r="J44" s="525"/>
      <c r="K44" s="525"/>
      <c r="L44" s="70">
        <f>K44+I44+G44</f>
        <v>3.3207999999999998</v>
      </c>
    </row>
    <row r="45" spans="1:22">
      <c r="A45" s="839"/>
      <c r="B45" s="861"/>
      <c r="C45" s="868"/>
      <c r="D45" s="957"/>
      <c r="E45" s="958"/>
      <c r="F45" s="959"/>
      <c r="G45" s="814"/>
      <c r="H45" s="960"/>
      <c r="I45" s="839"/>
      <c r="J45" s="839"/>
      <c r="K45" s="839"/>
      <c r="L45" s="818"/>
    </row>
    <row r="46" spans="1:22" ht="45" customHeight="1">
      <c r="A46" s="313">
        <v>8</v>
      </c>
      <c r="B46" s="332" t="s">
        <v>120</v>
      </c>
      <c r="C46" s="333" t="s">
        <v>65</v>
      </c>
      <c r="D46" s="333"/>
      <c r="E46" s="333">
        <v>4</v>
      </c>
      <c r="F46" s="313"/>
      <c r="G46" s="313"/>
      <c r="H46" s="345"/>
      <c r="I46" s="313"/>
      <c r="J46" s="313"/>
      <c r="K46" s="313"/>
      <c r="L46" s="313"/>
    </row>
    <row r="47" spans="1:22">
      <c r="A47" s="947"/>
      <c r="B47" s="231" t="s">
        <v>42</v>
      </c>
      <c r="C47" s="149" t="s">
        <v>43</v>
      </c>
      <c r="D47" s="149">
        <v>0.11899999999999999</v>
      </c>
      <c r="E47" s="149">
        <f>D47*E46</f>
        <v>0.47599999999999998</v>
      </c>
      <c r="F47" s="947"/>
      <c r="G47" s="947"/>
      <c r="H47" s="946">
        <v>4.5999999999999996</v>
      </c>
      <c r="I47" s="947">
        <f>H47*E47</f>
        <v>2.1895999999999995</v>
      </c>
      <c r="J47" s="947"/>
      <c r="K47" s="70"/>
      <c r="L47" s="70">
        <f>K47+I47+G47</f>
        <v>2.1895999999999995</v>
      </c>
    </row>
    <row r="48" spans="1:22">
      <c r="A48" s="947"/>
      <c r="B48" s="231" t="s">
        <v>49</v>
      </c>
      <c r="C48" s="149" t="s">
        <v>2</v>
      </c>
      <c r="D48" s="232">
        <v>6.7500000000000004E-2</v>
      </c>
      <c r="E48" s="242">
        <f>D48*E46</f>
        <v>0.27</v>
      </c>
      <c r="F48" s="947"/>
      <c r="G48" s="947"/>
      <c r="H48" s="946"/>
      <c r="I48" s="947"/>
      <c r="J48" s="947">
        <v>4</v>
      </c>
      <c r="K48" s="947">
        <f>E48*J48</f>
        <v>1.08</v>
      </c>
      <c r="L48" s="70">
        <f>K48+I48+G48</f>
        <v>1.08</v>
      </c>
    </row>
    <row r="49" spans="1:20">
      <c r="A49" s="947"/>
      <c r="B49" s="231" t="s">
        <v>152</v>
      </c>
      <c r="C49" s="149" t="s">
        <v>65</v>
      </c>
      <c r="D49" s="232">
        <v>1</v>
      </c>
      <c r="E49" s="233">
        <f>D49*E46</f>
        <v>4</v>
      </c>
      <c r="F49" s="70">
        <v>11.44</v>
      </c>
      <c r="G49" s="125">
        <f>E49*F49</f>
        <v>45.76</v>
      </c>
      <c r="H49" s="946"/>
      <c r="I49" s="947"/>
      <c r="J49" s="947"/>
      <c r="K49" s="947"/>
      <c r="L49" s="70">
        <f t="shared" ref="L49:L52" si="6">K49+I49+G49</f>
        <v>45.76</v>
      </c>
    </row>
    <row r="50" spans="1:20" ht="16.2">
      <c r="A50" s="947"/>
      <c r="B50" s="732" t="s">
        <v>166</v>
      </c>
      <c r="C50" s="149" t="s">
        <v>61</v>
      </c>
      <c r="D50" s="149"/>
      <c r="E50" s="149">
        <v>2</v>
      </c>
      <c r="F50" s="1017">
        <v>8.9</v>
      </c>
      <c r="G50" s="947">
        <f t="shared" ref="G50:G52" si="7">E50*F50</f>
        <v>17.8</v>
      </c>
      <c r="H50" s="946"/>
      <c r="I50" s="947"/>
      <c r="J50" s="947"/>
      <c r="K50" s="947"/>
      <c r="L50" s="70">
        <f t="shared" si="6"/>
        <v>17.8</v>
      </c>
    </row>
    <row r="51" spans="1:20" ht="16.2">
      <c r="A51" s="947"/>
      <c r="B51" s="235" t="s">
        <v>153</v>
      </c>
      <c r="C51" s="149" t="s">
        <v>61</v>
      </c>
      <c r="D51" s="149"/>
      <c r="E51" s="149">
        <v>2</v>
      </c>
      <c r="F51" s="1017">
        <v>3.9</v>
      </c>
      <c r="G51" s="947">
        <f t="shared" si="7"/>
        <v>7.8</v>
      </c>
      <c r="H51" s="946"/>
      <c r="I51" s="947"/>
      <c r="J51" s="947"/>
      <c r="K51" s="947"/>
      <c r="L51" s="70">
        <f t="shared" si="6"/>
        <v>7.8</v>
      </c>
    </row>
    <row r="52" spans="1:20" ht="16.2">
      <c r="A52" s="947"/>
      <c r="B52" s="235" t="s">
        <v>154</v>
      </c>
      <c r="C52" s="149" t="s">
        <v>61</v>
      </c>
      <c r="D52" s="149"/>
      <c r="E52" s="149">
        <v>2</v>
      </c>
      <c r="F52" s="1017">
        <v>3.6</v>
      </c>
      <c r="G52" s="947">
        <f t="shared" si="7"/>
        <v>7.2</v>
      </c>
      <c r="H52" s="946"/>
      <c r="I52" s="947"/>
      <c r="J52" s="947"/>
      <c r="K52" s="947"/>
      <c r="L52" s="70">
        <f t="shared" si="6"/>
        <v>7.2</v>
      </c>
    </row>
    <row r="53" spans="1:20">
      <c r="A53" s="525"/>
      <c r="B53" s="152" t="s">
        <v>51</v>
      </c>
      <c r="C53" s="149" t="s">
        <v>2</v>
      </c>
      <c r="D53" s="232">
        <v>2.16E-3</v>
      </c>
      <c r="E53" s="233">
        <f>D53*E46</f>
        <v>8.6400000000000001E-3</v>
      </c>
      <c r="F53" s="229">
        <v>4</v>
      </c>
      <c r="G53" s="70">
        <f>E53*F53</f>
        <v>3.456E-2</v>
      </c>
      <c r="H53" s="259"/>
      <c r="I53" s="525"/>
      <c r="J53" s="525"/>
      <c r="K53" s="525"/>
      <c r="L53" s="70">
        <f>K53+I53+G53</f>
        <v>3.456E-2</v>
      </c>
    </row>
    <row r="54" spans="1:20" s="409" customFormat="1">
      <c r="A54" s="716"/>
      <c r="B54" s="717"/>
      <c r="C54" s="711"/>
      <c r="D54" s="718"/>
      <c r="E54" s="719"/>
      <c r="F54" s="719"/>
      <c r="G54" s="712"/>
      <c r="H54" s="719"/>
      <c r="I54" s="715"/>
      <c r="J54" s="719"/>
      <c r="K54" s="709"/>
      <c r="L54" s="714"/>
    </row>
    <row r="55" spans="1:20">
      <c r="A55" s="356"/>
      <c r="B55" s="356" t="s">
        <v>115</v>
      </c>
      <c r="C55" s="356"/>
      <c r="D55" s="357"/>
      <c r="E55" s="356"/>
      <c r="F55" s="356"/>
      <c r="G55" s="358">
        <f>SUM(G11:G54)</f>
        <v>1158.6607458305086</v>
      </c>
      <c r="H55" s="359"/>
      <c r="I55" s="358">
        <f>SUM(I11:I54)</f>
        <v>289.84556799999996</v>
      </c>
      <c r="J55" s="358"/>
      <c r="K55" s="358">
        <f>SUM(K11:K54)</f>
        <v>431.131445559322</v>
      </c>
      <c r="L55" s="358">
        <f>SUM(L11:L54)</f>
        <v>1879.6377593898308</v>
      </c>
    </row>
    <row r="56" spans="1:20" s="189" customFormat="1" ht="16.5" customHeight="1">
      <c r="A56" s="822"/>
      <c r="B56" s="832" t="s">
        <v>328</v>
      </c>
      <c r="C56" s="955">
        <v>0.05</v>
      </c>
      <c r="D56" s="823"/>
      <c r="E56" s="824"/>
      <c r="F56" s="824"/>
      <c r="G56" s="827"/>
      <c r="H56" s="824"/>
      <c r="I56" s="827"/>
      <c r="J56" s="826"/>
      <c r="K56" s="827"/>
      <c r="L56" s="827">
        <f>G55*C56</f>
        <v>57.933037291525437</v>
      </c>
      <c r="M56" s="153"/>
      <c r="N56" s="128"/>
      <c r="T56" s="284"/>
    </row>
    <row r="57" spans="1:20" s="189" customFormat="1" ht="16.5" customHeight="1">
      <c r="A57" s="822"/>
      <c r="B57" s="129" t="s">
        <v>21</v>
      </c>
      <c r="C57" s="814"/>
      <c r="D57" s="823"/>
      <c r="E57" s="824"/>
      <c r="F57" s="824"/>
      <c r="G57" s="827"/>
      <c r="H57" s="824"/>
      <c r="I57" s="827"/>
      <c r="J57" s="826"/>
      <c r="K57" s="827"/>
      <c r="L57" s="956">
        <f>L55+L56</f>
        <v>1937.5707966813561</v>
      </c>
      <c r="M57" s="153"/>
      <c r="N57" s="128"/>
      <c r="T57" s="284"/>
    </row>
    <row r="58" spans="1:20">
      <c r="A58" s="525"/>
      <c r="B58" s="947" t="s">
        <v>84</v>
      </c>
      <c r="C58" s="206">
        <v>0.1</v>
      </c>
      <c r="D58" s="947"/>
      <c r="E58" s="206"/>
      <c r="F58" s="947"/>
      <c r="G58" s="207"/>
      <c r="H58" s="946"/>
      <c r="I58" s="207"/>
      <c r="J58" s="207"/>
      <c r="K58" s="207"/>
      <c r="L58" s="207">
        <f>L57*C58</f>
        <v>193.75707966813562</v>
      </c>
    </row>
    <row r="59" spans="1:20">
      <c r="A59" s="525"/>
      <c r="B59" s="947" t="s">
        <v>21</v>
      </c>
      <c r="C59" s="525"/>
      <c r="D59" s="947"/>
      <c r="E59" s="525"/>
      <c r="F59" s="525"/>
      <c r="G59" s="208"/>
      <c r="H59" s="259"/>
      <c r="I59" s="208"/>
      <c r="J59" s="208"/>
      <c r="K59" s="208"/>
      <c r="L59" s="208">
        <f>L57+L58</f>
        <v>2131.3278763494918</v>
      </c>
    </row>
    <row r="60" spans="1:20">
      <c r="A60" s="525"/>
      <c r="B60" s="947" t="s">
        <v>87</v>
      </c>
      <c r="C60" s="206">
        <v>0.08</v>
      </c>
      <c r="D60" s="947"/>
      <c r="E60" s="206"/>
      <c r="F60" s="947"/>
      <c r="G60" s="207"/>
      <c r="H60" s="946"/>
      <c r="I60" s="207"/>
      <c r="J60" s="207"/>
      <c r="K60" s="207"/>
      <c r="L60" s="207">
        <f>L59*C60</f>
        <v>170.50623010795934</v>
      </c>
    </row>
    <row r="61" spans="1:20">
      <c r="A61" s="525"/>
      <c r="B61" s="947" t="s">
        <v>21</v>
      </c>
      <c r="C61" s="525"/>
      <c r="D61" s="947"/>
      <c r="E61" s="525"/>
      <c r="F61" s="525"/>
      <c r="G61" s="208"/>
      <c r="H61" s="259"/>
      <c r="I61" s="208"/>
      <c r="J61" s="208"/>
      <c r="K61" s="208"/>
      <c r="L61" s="208">
        <f>SUM(L59:L60)</f>
        <v>2301.8341064574511</v>
      </c>
    </row>
    <row r="62" spans="1:20" ht="19.8">
      <c r="A62" s="243"/>
      <c r="B62" s="244"/>
      <c r="C62" s="245"/>
      <c r="D62" s="248"/>
      <c r="E62" s="248"/>
      <c r="F62" s="248"/>
      <c r="G62" s="248"/>
      <c r="H62" s="277"/>
      <c r="I62" s="248"/>
      <c r="J62" s="249"/>
      <c r="K62" s="248"/>
      <c r="L62" s="250"/>
    </row>
    <row r="63" spans="1:20">
      <c r="A63" s="45"/>
      <c r="B63" s="266"/>
      <c r="C63" s="47"/>
      <c r="D63" s="266"/>
      <c r="E63" s="266"/>
      <c r="F63" s="266"/>
      <c r="G63" s="266"/>
      <c r="H63" s="278"/>
      <c r="I63" s="266"/>
      <c r="J63" s="223"/>
      <c r="K63" s="266"/>
      <c r="L63" s="266"/>
    </row>
    <row r="64" spans="1:20">
      <c r="A64" s="45"/>
      <c r="B64" s="266"/>
      <c r="C64" s="47"/>
      <c r="D64" s="266"/>
      <c r="E64" s="266"/>
      <c r="F64" s="266"/>
      <c r="G64" s="266"/>
      <c r="H64" s="278"/>
      <c r="I64" s="266"/>
      <c r="J64" s="223"/>
      <c r="K64" s="266"/>
      <c r="L64" s="266"/>
    </row>
    <row r="65" spans="1:12">
      <c r="A65" s="45"/>
      <c r="B65" s="266"/>
      <c r="C65" s="47"/>
      <c r="D65" s="266"/>
      <c r="E65" s="266"/>
      <c r="F65" s="266"/>
      <c r="G65" s="266"/>
      <c r="H65" s="278"/>
      <c r="I65" s="266"/>
      <c r="J65" s="223"/>
      <c r="K65" s="266"/>
      <c r="L65" s="266"/>
    </row>
    <row r="66" spans="1:12">
      <c r="A66" s="45"/>
      <c r="B66" s="266"/>
      <c r="C66" s="47"/>
      <c r="D66" s="266"/>
      <c r="E66" s="266"/>
      <c r="F66" s="266"/>
      <c r="G66" s="266"/>
      <c r="H66" s="278"/>
      <c r="I66" s="266"/>
      <c r="J66" s="223"/>
      <c r="K66" s="266"/>
      <c r="L66" s="266"/>
    </row>
    <row r="67" spans="1:12">
      <c r="A67" s="45"/>
      <c r="B67" s="266"/>
      <c r="C67" s="47"/>
      <c r="D67" s="266"/>
      <c r="E67" s="266"/>
      <c r="F67" s="266"/>
      <c r="G67" s="266"/>
      <c r="H67" s="278"/>
      <c r="I67" s="266"/>
      <c r="J67" s="223"/>
      <c r="K67" s="266"/>
      <c r="L67" s="266"/>
    </row>
    <row r="68" spans="1:12">
      <c r="A68" s="45"/>
      <c r="B68" s="266"/>
      <c r="C68" s="47"/>
      <c r="D68" s="266"/>
      <c r="E68" s="266"/>
      <c r="F68" s="266"/>
      <c r="G68" s="266"/>
      <c r="H68" s="278"/>
      <c r="I68" s="266"/>
      <c r="J68" s="223"/>
      <c r="K68" s="266"/>
      <c r="L68" s="266"/>
    </row>
    <row r="69" spans="1:12">
      <c r="A69" s="45"/>
      <c r="B69" s="266"/>
      <c r="C69" s="47"/>
      <c r="D69" s="266"/>
      <c r="E69" s="266"/>
      <c r="F69" s="266"/>
      <c r="G69" s="266"/>
      <c r="H69" s="278"/>
      <c r="I69" s="266"/>
      <c r="J69" s="223"/>
      <c r="K69" s="266"/>
      <c r="L69" s="266"/>
    </row>
    <row r="70" spans="1:12">
      <c r="A70" s="45"/>
      <c r="B70" s="266"/>
      <c r="C70" s="47"/>
      <c r="D70" s="266"/>
      <c r="E70" s="266"/>
      <c r="F70" s="266"/>
      <c r="G70" s="266"/>
      <c r="H70" s="278"/>
      <c r="I70" s="266"/>
      <c r="J70" s="223"/>
      <c r="K70" s="266"/>
      <c r="L70" s="266"/>
    </row>
    <row r="71" spans="1:12">
      <c r="A71" s="45"/>
      <c r="B71" s="266"/>
      <c r="C71" s="47"/>
      <c r="D71" s="266"/>
      <c r="E71" s="266"/>
      <c r="F71" s="266"/>
      <c r="G71" s="266"/>
      <c r="H71" s="278"/>
      <c r="I71" s="266"/>
      <c r="J71" s="223"/>
      <c r="K71" s="266"/>
      <c r="L71" s="266"/>
    </row>
    <row r="72" spans="1:12">
      <c r="A72" s="45"/>
      <c r="B72" s="266"/>
      <c r="C72" s="47"/>
      <c r="D72" s="266"/>
      <c r="E72" s="266"/>
      <c r="F72" s="266"/>
      <c r="G72" s="266"/>
      <c r="H72" s="278"/>
      <c r="I72" s="266"/>
      <c r="J72" s="223"/>
      <c r="K72" s="266"/>
      <c r="L72" s="266"/>
    </row>
    <row r="73" spans="1:12">
      <c r="A73" s="45"/>
      <c r="B73" s="266"/>
      <c r="C73" s="47"/>
      <c r="D73" s="266"/>
      <c r="E73" s="266"/>
      <c r="F73" s="266"/>
      <c r="G73" s="266"/>
      <c r="H73" s="278"/>
      <c r="I73" s="266"/>
      <c r="J73" s="223"/>
      <c r="K73" s="266"/>
      <c r="L73" s="266"/>
    </row>
    <row r="74" spans="1:12">
      <c r="A74" s="45"/>
      <c r="B74" s="266"/>
      <c r="C74" s="47"/>
      <c r="D74" s="266"/>
      <c r="E74" s="266"/>
      <c r="F74" s="266"/>
      <c r="G74" s="266"/>
      <c r="H74" s="278"/>
      <c r="I74" s="266"/>
      <c r="J74" s="223"/>
      <c r="K74" s="266"/>
      <c r="L74" s="266"/>
    </row>
    <row r="75" spans="1:12">
      <c r="A75" s="45"/>
      <c r="B75" s="266"/>
      <c r="C75" s="47"/>
      <c r="D75" s="266"/>
      <c r="E75" s="266"/>
      <c r="F75" s="266"/>
      <c r="G75" s="266"/>
      <c r="H75" s="278"/>
      <c r="I75" s="266"/>
      <c r="J75" s="223"/>
      <c r="K75" s="266"/>
      <c r="L75" s="266"/>
    </row>
    <row r="76" spans="1:12">
      <c r="A76" s="45"/>
      <c r="B76" s="266"/>
      <c r="C76" s="47"/>
      <c r="D76" s="266"/>
      <c r="E76" s="266"/>
      <c r="F76" s="266"/>
      <c r="G76" s="266"/>
      <c r="H76" s="278"/>
      <c r="I76" s="266"/>
      <c r="J76" s="223"/>
      <c r="K76" s="266"/>
      <c r="L76" s="266"/>
    </row>
    <row r="77" spans="1:12">
      <c r="A77" s="45"/>
      <c r="B77" s="266"/>
      <c r="C77" s="47"/>
      <c r="D77" s="266"/>
      <c r="E77" s="266"/>
      <c r="F77" s="266"/>
      <c r="G77" s="266"/>
      <c r="H77" s="278"/>
      <c r="I77" s="266"/>
      <c r="J77" s="223"/>
      <c r="K77" s="266"/>
      <c r="L77" s="266"/>
    </row>
    <row r="78" spans="1:12" ht="32.4" customHeight="1">
      <c r="A78" s="45"/>
      <c r="B78" s="266"/>
      <c r="C78" s="47"/>
      <c r="D78" s="266"/>
      <c r="E78" s="266"/>
      <c r="F78" s="266"/>
      <c r="G78" s="266"/>
      <c r="H78" s="278"/>
      <c r="I78" s="266"/>
      <c r="J78" s="223"/>
      <c r="K78" s="266"/>
      <c r="L78" s="266"/>
    </row>
    <row r="79" spans="1:12">
      <c r="A79" s="45"/>
      <c r="B79" s="266"/>
      <c r="C79" s="47"/>
      <c r="D79" s="266"/>
      <c r="E79" s="266"/>
      <c r="F79" s="266"/>
      <c r="G79" s="266"/>
      <c r="H79" s="278"/>
      <c r="I79" s="266"/>
      <c r="J79" s="223"/>
      <c r="K79" s="266"/>
      <c r="L79" s="266"/>
    </row>
    <row r="80" spans="1:12">
      <c r="A80" s="45"/>
      <c r="B80" s="266"/>
      <c r="C80" s="47"/>
      <c r="D80" s="266"/>
      <c r="E80" s="266"/>
      <c r="F80" s="266"/>
      <c r="G80" s="266"/>
      <c r="H80" s="278"/>
      <c r="I80" s="266"/>
      <c r="J80" s="223"/>
      <c r="K80" s="266"/>
      <c r="L80" s="266"/>
    </row>
    <row r="81" spans="1:12">
      <c r="A81" s="45"/>
      <c r="B81" s="266"/>
      <c r="C81" s="47"/>
      <c r="D81" s="266"/>
      <c r="E81" s="266"/>
      <c r="F81" s="266"/>
      <c r="G81" s="266"/>
      <c r="H81" s="278"/>
      <c r="I81" s="266"/>
      <c r="J81" s="223"/>
      <c r="K81" s="266"/>
      <c r="L81" s="266"/>
    </row>
    <row r="82" spans="1:12">
      <c r="A82" s="45"/>
      <c r="B82" s="266"/>
      <c r="C82" s="47"/>
      <c r="D82" s="266"/>
      <c r="E82" s="266"/>
      <c r="F82" s="266"/>
      <c r="G82" s="266"/>
      <c r="H82" s="278"/>
      <c r="I82" s="266"/>
      <c r="J82" s="223"/>
      <c r="K82" s="266"/>
      <c r="L82" s="266"/>
    </row>
    <row r="83" spans="1:12">
      <c r="A83" s="45"/>
      <c r="B83" s="266"/>
      <c r="C83" s="47"/>
      <c r="D83" s="266"/>
      <c r="E83" s="266"/>
      <c r="F83" s="266"/>
      <c r="G83" s="266"/>
      <c r="H83" s="278"/>
      <c r="I83" s="266"/>
      <c r="J83" s="223"/>
      <c r="K83" s="266"/>
      <c r="L83" s="266"/>
    </row>
    <row r="84" spans="1:12">
      <c r="A84" s="45"/>
      <c r="B84" s="266"/>
      <c r="C84" s="47"/>
      <c r="D84" s="266"/>
      <c r="E84" s="266"/>
      <c r="F84" s="266"/>
      <c r="G84" s="266"/>
      <c r="H84" s="278"/>
      <c r="I84" s="266"/>
      <c r="J84" s="223"/>
      <c r="K84" s="266"/>
      <c r="L84" s="266"/>
    </row>
    <row r="85" spans="1:12">
      <c r="A85" s="45"/>
      <c r="B85" s="266"/>
      <c r="C85" s="47"/>
      <c r="D85" s="266"/>
      <c r="E85" s="266"/>
      <c r="F85" s="266"/>
      <c r="G85" s="266"/>
      <c r="H85" s="278"/>
      <c r="I85" s="266"/>
      <c r="J85" s="223"/>
      <c r="K85" s="266"/>
      <c r="L85" s="266"/>
    </row>
    <row r="86" spans="1:12">
      <c r="A86" s="45"/>
      <c r="B86" s="266"/>
      <c r="C86" s="47"/>
      <c r="D86" s="266"/>
      <c r="E86" s="266"/>
      <c r="F86" s="266"/>
      <c r="G86" s="266"/>
      <c r="H86" s="278"/>
      <c r="I86" s="266"/>
      <c r="J86" s="223"/>
      <c r="K86" s="266"/>
      <c r="L86" s="266"/>
    </row>
    <row r="87" spans="1:12">
      <c r="A87" s="45"/>
      <c r="B87" s="266"/>
      <c r="C87" s="47"/>
      <c r="D87" s="266"/>
      <c r="E87" s="266"/>
      <c r="F87" s="266"/>
      <c r="G87" s="266"/>
      <c r="H87" s="278"/>
      <c r="I87" s="266"/>
      <c r="J87" s="223"/>
      <c r="K87" s="266"/>
      <c r="L87" s="266"/>
    </row>
    <row r="88" spans="1:12">
      <c r="A88" s="45"/>
      <c r="B88" s="266"/>
      <c r="C88" s="47"/>
      <c r="D88" s="266"/>
      <c r="E88" s="266"/>
      <c r="F88" s="266"/>
      <c r="G88" s="266"/>
      <c r="H88" s="278"/>
      <c r="I88" s="266"/>
      <c r="J88" s="223"/>
      <c r="K88" s="266"/>
      <c r="L88" s="266"/>
    </row>
    <row r="89" spans="1:12">
      <c r="A89" s="45"/>
      <c r="B89" s="266"/>
      <c r="C89" s="47"/>
      <c r="D89" s="266"/>
      <c r="E89" s="266"/>
      <c r="F89" s="266"/>
      <c r="G89" s="266"/>
      <c r="H89" s="278"/>
      <c r="I89" s="266"/>
      <c r="J89" s="223"/>
      <c r="K89" s="266"/>
      <c r="L89" s="266"/>
    </row>
    <row r="90" spans="1:12">
      <c r="A90" s="45"/>
      <c r="B90" s="266"/>
      <c r="C90" s="47"/>
      <c r="D90" s="266"/>
      <c r="E90" s="266"/>
      <c r="F90" s="266"/>
      <c r="G90" s="266"/>
      <c r="H90" s="278"/>
      <c r="I90" s="266"/>
      <c r="J90" s="223"/>
      <c r="K90" s="266"/>
      <c r="L90" s="266"/>
    </row>
    <row r="91" spans="1:12">
      <c r="A91" s="45"/>
      <c r="B91" s="266"/>
      <c r="C91" s="47"/>
      <c r="D91" s="266"/>
      <c r="E91" s="266"/>
      <c r="F91" s="266"/>
      <c r="G91" s="266"/>
      <c r="H91" s="278"/>
      <c r="I91" s="266"/>
      <c r="J91" s="223"/>
      <c r="K91" s="266"/>
      <c r="L91" s="266"/>
    </row>
    <row r="92" spans="1:12">
      <c r="A92" s="45"/>
      <c r="B92" s="266"/>
      <c r="C92" s="47"/>
      <c r="D92" s="266"/>
      <c r="E92" s="266"/>
      <c r="F92" s="266"/>
      <c r="G92" s="266"/>
      <c r="H92" s="278"/>
      <c r="I92" s="266"/>
      <c r="J92" s="223"/>
      <c r="K92" s="266"/>
      <c r="L92" s="266"/>
    </row>
    <row r="93" spans="1:12">
      <c r="A93" s="45"/>
      <c r="B93" s="266"/>
      <c r="C93" s="47"/>
      <c r="D93" s="266"/>
      <c r="E93" s="266"/>
      <c r="F93" s="266"/>
      <c r="G93" s="266"/>
      <c r="H93" s="278"/>
      <c r="I93" s="266"/>
      <c r="J93" s="223"/>
      <c r="K93" s="266"/>
      <c r="L93" s="266"/>
    </row>
    <row r="94" spans="1:12">
      <c r="A94" s="45"/>
      <c r="B94" s="266"/>
      <c r="C94" s="47"/>
      <c r="D94" s="266"/>
      <c r="E94" s="266"/>
      <c r="F94" s="266"/>
      <c r="G94" s="266"/>
      <c r="H94" s="278"/>
      <c r="I94" s="266"/>
      <c r="J94" s="223"/>
      <c r="K94" s="266"/>
      <c r="L94" s="266"/>
    </row>
    <row r="95" spans="1:12">
      <c r="A95" s="45"/>
      <c r="B95" s="266"/>
      <c r="C95" s="47"/>
      <c r="D95" s="266"/>
      <c r="E95" s="266"/>
      <c r="F95" s="266"/>
      <c r="G95" s="266"/>
      <c r="H95" s="278"/>
      <c r="I95" s="266"/>
      <c r="J95" s="223"/>
      <c r="K95" s="266"/>
      <c r="L95" s="266"/>
    </row>
    <row r="96" spans="1:12">
      <c r="A96" s="45"/>
      <c r="B96" s="266"/>
      <c r="C96" s="47"/>
      <c r="D96" s="266"/>
      <c r="E96" s="266"/>
      <c r="F96" s="266"/>
      <c r="G96" s="266"/>
      <c r="H96" s="278"/>
      <c r="I96" s="266"/>
      <c r="J96" s="223"/>
      <c r="K96" s="266"/>
      <c r="L96" s="266"/>
    </row>
    <row r="97" spans="1:12">
      <c r="A97" s="45"/>
      <c r="B97" s="266"/>
      <c r="C97" s="47"/>
      <c r="D97" s="266"/>
      <c r="E97" s="266"/>
      <c r="F97" s="266"/>
      <c r="G97" s="266"/>
      <c r="H97" s="278"/>
      <c r="I97" s="266"/>
      <c r="J97" s="223"/>
      <c r="K97" s="266"/>
      <c r="L97" s="266"/>
    </row>
    <row r="98" spans="1:12">
      <c r="A98" s="45"/>
      <c r="B98" s="266"/>
      <c r="C98" s="47"/>
      <c r="D98" s="266"/>
      <c r="E98" s="266"/>
      <c r="F98" s="266"/>
      <c r="G98" s="266"/>
      <c r="H98" s="278"/>
      <c r="I98" s="266"/>
      <c r="J98" s="223"/>
      <c r="K98" s="266"/>
      <c r="L98" s="266"/>
    </row>
    <row r="99" spans="1:12">
      <c r="A99" s="45"/>
      <c r="B99" s="266"/>
      <c r="C99" s="47"/>
      <c r="D99" s="266"/>
      <c r="E99" s="266"/>
      <c r="F99" s="266"/>
      <c r="G99" s="266"/>
      <c r="H99" s="278"/>
      <c r="I99" s="266"/>
      <c r="J99" s="223"/>
      <c r="K99" s="266"/>
      <c r="L99" s="266"/>
    </row>
    <row r="100" spans="1:12">
      <c r="B100" s="60"/>
    </row>
    <row r="101" spans="1:12">
      <c r="B101" s="60"/>
    </row>
    <row r="102" spans="1:12">
      <c r="B102" s="60"/>
    </row>
    <row r="103" spans="1:12">
      <c r="B103" s="60"/>
    </row>
    <row r="104" spans="1:12">
      <c r="B104" s="60"/>
    </row>
    <row r="105" spans="1:12">
      <c r="B105" s="60"/>
    </row>
    <row r="106" spans="1:12">
      <c r="B106" s="60"/>
    </row>
    <row r="107" spans="1:12">
      <c r="B107" s="60"/>
    </row>
    <row r="108" spans="1:12">
      <c r="B108" s="60"/>
    </row>
    <row r="109" spans="1:12">
      <c r="B109" s="60"/>
    </row>
    <row r="110" spans="1:12">
      <c r="B110" s="60"/>
    </row>
    <row r="111" spans="1:12">
      <c r="B111" s="60"/>
    </row>
    <row r="112" spans="1:12">
      <c r="B112" s="60"/>
    </row>
    <row r="113" spans="2:2">
      <c r="B113" s="60"/>
    </row>
    <row r="114" spans="2:2">
      <c r="B114" s="60"/>
    </row>
    <row r="115" spans="2:2">
      <c r="B115" s="60"/>
    </row>
    <row r="116" spans="2:2">
      <c r="B116" s="60"/>
    </row>
    <row r="117" spans="2:2">
      <c r="B117" s="60"/>
    </row>
    <row r="118" spans="2:2">
      <c r="B118" s="60"/>
    </row>
    <row r="119" spans="2:2">
      <c r="B119" s="60"/>
    </row>
    <row r="120" spans="2:2">
      <c r="B120" s="60"/>
    </row>
    <row r="121" spans="2:2">
      <c r="B121" s="60"/>
    </row>
    <row r="122" spans="2:2">
      <c r="B122" s="60"/>
    </row>
    <row r="123" spans="2:2">
      <c r="B123" s="60"/>
    </row>
    <row r="124" spans="2:2">
      <c r="B124" s="60"/>
    </row>
    <row r="125" spans="2:2">
      <c r="B125" s="60"/>
    </row>
    <row r="126" spans="2:2">
      <c r="B126" s="60"/>
    </row>
    <row r="127" spans="2:2">
      <c r="B127" s="60"/>
    </row>
    <row r="128" spans="2:2">
      <c r="B128" s="60"/>
    </row>
    <row r="129" spans="2:2">
      <c r="B129" s="60"/>
    </row>
    <row r="130" spans="2:2">
      <c r="B130" s="60"/>
    </row>
    <row r="131" spans="2:2">
      <c r="B131" s="60"/>
    </row>
    <row r="132" spans="2:2">
      <c r="B132" s="60"/>
    </row>
    <row r="133" spans="2:2">
      <c r="B133" s="60"/>
    </row>
    <row r="134" spans="2:2">
      <c r="B134" s="60"/>
    </row>
    <row r="135" spans="2:2">
      <c r="B135" s="60"/>
    </row>
    <row r="136" spans="2:2">
      <c r="B136" s="60"/>
    </row>
    <row r="137" spans="2:2">
      <c r="B137" s="60"/>
    </row>
    <row r="138" spans="2:2">
      <c r="B138" s="60"/>
    </row>
    <row r="139" spans="2:2">
      <c r="B139" s="60"/>
    </row>
    <row r="140" spans="2:2">
      <c r="B140" s="60"/>
    </row>
    <row r="141" spans="2:2">
      <c r="B141" s="60"/>
    </row>
    <row r="142" spans="2:2">
      <c r="B142" s="60"/>
    </row>
    <row r="143" spans="2:2">
      <c r="B143" s="60"/>
    </row>
    <row r="144" spans="2:2">
      <c r="B144" s="60"/>
    </row>
    <row r="145" spans="1:12">
      <c r="B145" s="60"/>
    </row>
    <row r="146" spans="1:12">
      <c r="B146" s="60"/>
    </row>
    <row r="147" spans="1:12">
      <c r="A147" s="50"/>
      <c r="B147" s="18"/>
      <c r="D147" s="18"/>
      <c r="E147" s="18"/>
      <c r="F147" s="18"/>
      <c r="G147" s="18"/>
      <c r="H147" s="274"/>
      <c r="I147" s="18"/>
      <c r="J147" s="54"/>
      <c r="K147" s="18"/>
      <c r="L147" s="18"/>
    </row>
    <row r="148" spans="1:12">
      <c r="A148" s="50"/>
      <c r="B148" s="18"/>
      <c r="D148" s="18"/>
      <c r="E148" s="18"/>
      <c r="F148" s="18"/>
      <c r="G148" s="18"/>
      <c r="H148" s="274"/>
      <c r="I148" s="18"/>
      <c r="J148" s="54"/>
      <c r="K148" s="18"/>
      <c r="L148" s="18"/>
    </row>
    <row r="149" spans="1:12">
      <c r="A149" s="50"/>
      <c r="B149" s="18"/>
      <c r="D149" s="18"/>
      <c r="E149" s="18"/>
      <c r="F149" s="18"/>
      <c r="G149" s="18"/>
      <c r="H149" s="274"/>
      <c r="I149" s="18"/>
      <c r="J149" s="54"/>
      <c r="K149" s="18"/>
      <c r="L149" s="18"/>
    </row>
    <row r="150" spans="1:12">
      <c r="A150" s="50"/>
      <c r="B150" s="18"/>
      <c r="D150" s="18"/>
      <c r="E150" s="18"/>
      <c r="F150" s="18"/>
      <c r="G150" s="18"/>
      <c r="H150" s="274"/>
      <c r="I150" s="18"/>
      <c r="J150" s="54"/>
      <c r="K150" s="18"/>
      <c r="L150" s="18"/>
    </row>
    <row r="151" spans="1:12">
      <c r="A151" s="50"/>
      <c r="B151" s="18"/>
      <c r="D151" s="18"/>
      <c r="E151" s="18"/>
      <c r="F151" s="18"/>
      <c r="G151" s="18"/>
      <c r="H151" s="274"/>
      <c r="I151" s="18"/>
      <c r="J151" s="54"/>
      <c r="K151" s="18"/>
      <c r="L151" s="18"/>
    </row>
    <row r="152" spans="1:12">
      <c r="A152" s="50"/>
      <c r="B152" s="18"/>
      <c r="D152" s="18"/>
      <c r="E152" s="18"/>
      <c r="F152" s="18"/>
      <c r="G152" s="18"/>
      <c r="H152" s="274"/>
      <c r="I152" s="18"/>
      <c r="J152" s="54"/>
      <c r="K152" s="18"/>
      <c r="L152" s="18"/>
    </row>
    <row r="153" spans="1:12">
      <c r="A153" s="50"/>
      <c r="B153" s="18"/>
      <c r="D153" s="18"/>
      <c r="E153" s="18"/>
      <c r="F153" s="18"/>
      <c r="G153" s="18"/>
      <c r="H153" s="274"/>
      <c r="I153" s="18"/>
      <c r="J153" s="54"/>
      <c r="K153" s="18"/>
      <c r="L153" s="18"/>
    </row>
    <row r="154" spans="1:12">
      <c r="A154" s="50"/>
      <c r="B154" s="18"/>
      <c r="D154" s="18"/>
      <c r="E154" s="18"/>
      <c r="F154" s="18"/>
      <c r="G154" s="18"/>
      <c r="H154" s="274"/>
      <c r="I154" s="18"/>
      <c r="J154" s="54"/>
      <c r="K154" s="18"/>
      <c r="L154" s="18"/>
    </row>
    <row r="155" spans="1:12">
      <c r="A155" s="50"/>
      <c r="B155" s="18"/>
      <c r="D155" s="18"/>
      <c r="E155" s="18"/>
      <c r="F155" s="18"/>
      <c r="G155" s="18"/>
      <c r="H155" s="274"/>
      <c r="I155" s="18"/>
      <c r="J155" s="54"/>
      <c r="K155" s="18"/>
      <c r="L155" s="18"/>
    </row>
    <row r="156" spans="1:12">
      <c r="A156" s="50"/>
      <c r="B156" s="18"/>
      <c r="D156" s="18"/>
      <c r="E156" s="18"/>
      <c r="F156" s="18"/>
      <c r="G156" s="18"/>
      <c r="H156" s="274"/>
      <c r="I156" s="18"/>
      <c r="J156" s="54"/>
      <c r="K156" s="18"/>
      <c r="L156" s="18"/>
    </row>
    <row r="157" spans="1:12">
      <c r="A157" s="50"/>
      <c r="B157" s="18"/>
      <c r="D157" s="18"/>
      <c r="E157" s="18"/>
      <c r="F157" s="18"/>
      <c r="G157" s="18"/>
      <c r="H157" s="274"/>
      <c r="I157" s="18"/>
      <c r="J157" s="54"/>
      <c r="K157" s="18"/>
      <c r="L157" s="18"/>
    </row>
    <row r="173" ht="36.6" customHeight="1"/>
    <row r="180" ht="42.6" customHeight="1"/>
    <row r="187" ht="39.6" customHeight="1"/>
    <row r="478" spans="2:2">
      <c r="B478" s="42" t="s">
        <v>157</v>
      </c>
    </row>
  </sheetData>
  <autoFilter ref="A8:L62"/>
  <mergeCells count="11">
    <mergeCell ref="L6:L7"/>
    <mergeCell ref="M34:N34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5" header="0.66929133858267698" footer="0.31496062992126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W96"/>
  <sheetViews>
    <sheetView topLeftCell="A10" workbookViewId="0">
      <selection activeCell="E12" sqref="E12:E48"/>
    </sheetView>
  </sheetViews>
  <sheetFormatPr defaultColWidth="9.109375" defaultRowHeight="15"/>
  <cols>
    <col min="1" max="1" width="3.88671875" style="15" customWidth="1"/>
    <col min="2" max="2" width="41.88671875" style="7" customWidth="1"/>
    <col min="3" max="3" width="7.109375" style="14" customWidth="1"/>
    <col min="4" max="4" width="8" style="627" customWidth="1"/>
    <col min="5" max="5" width="9" style="7" customWidth="1"/>
    <col min="6" max="6" width="8.6640625" style="627" customWidth="1"/>
    <col min="7" max="7" width="10.109375" style="7" customWidth="1"/>
    <col min="8" max="8" width="7.33203125" style="628" customWidth="1"/>
    <col min="9" max="9" width="10" style="7" customWidth="1"/>
    <col min="10" max="10" width="8.6640625" style="628" customWidth="1"/>
    <col min="11" max="11" width="8.33203125" style="7" customWidth="1"/>
    <col min="12" max="12" width="10.6640625" style="7" customWidth="1"/>
    <col min="13" max="13" width="25.88671875" style="617" customWidth="1"/>
    <col min="14" max="16" width="9.109375" style="618"/>
    <col min="17" max="16384" width="9.109375" style="11"/>
  </cols>
  <sheetData>
    <row r="1" spans="1:16">
      <c r="A1" s="614"/>
      <c r="B1" s="615"/>
      <c r="C1" s="615"/>
      <c r="D1" s="615"/>
      <c r="E1" s="615"/>
      <c r="F1" s="615"/>
      <c r="G1" s="615"/>
      <c r="H1" s="616"/>
      <c r="I1" s="615"/>
      <c r="J1" s="616"/>
      <c r="K1" s="615"/>
      <c r="L1" s="615"/>
    </row>
    <row r="2" spans="1:16" ht="17.399999999999999">
      <c r="A2" s="1208" t="s">
        <v>238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</row>
    <row r="3" spans="1:16" ht="19.8">
      <c r="A3" s="619"/>
      <c r="B3" s="620"/>
      <c r="C3" s="621"/>
      <c r="D3" s="621"/>
      <c r="E3" s="621"/>
      <c r="F3" s="621"/>
      <c r="G3" s="621"/>
      <c r="H3" s="622"/>
      <c r="I3" s="621"/>
      <c r="J3" s="622"/>
      <c r="K3" s="621"/>
      <c r="L3" s="621"/>
    </row>
    <row r="4" spans="1:16" ht="17.399999999999999">
      <c r="A4" s="1208" t="s">
        <v>30</v>
      </c>
      <c r="B4" s="1208"/>
      <c r="C4" s="1208"/>
      <c r="D4" s="1208"/>
      <c r="E4" s="1208"/>
      <c r="F4" s="1208"/>
      <c r="G4" s="1208"/>
      <c r="H4" s="1208"/>
      <c r="I4" s="1208"/>
      <c r="J4" s="1208"/>
      <c r="K4" s="1208"/>
      <c r="L4" s="1208"/>
    </row>
    <row r="5" spans="1:16" ht="19.8">
      <c r="A5" s="619"/>
      <c r="B5" s="620"/>
      <c r="C5" s="621"/>
      <c r="D5" s="621"/>
      <c r="E5" s="621"/>
      <c r="F5" s="621"/>
      <c r="G5" s="621"/>
      <c r="H5" s="622"/>
      <c r="I5" s="621"/>
      <c r="J5" s="622"/>
      <c r="K5" s="621"/>
      <c r="L5" s="621"/>
    </row>
    <row r="6" spans="1:16" ht="15" customHeight="1">
      <c r="A6" s="1209" t="s">
        <v>13</v>
      </c>
      <c r="B6" s="1209" t="s">
        <v>27</v>
      </c>
      <c r="C6" s="1209" t="s">
        <v>32</v>
      </c>
      <c r="D6" s="1210" t="s">
        <v>33</v>
      </c>
      <c r="E6" s="1211"/>
      <c r="F6" s="1209" t="s">
        <v>34</v>
      </c>
      <c r="G6" s="1209"/>
      <c r="H6" s="1209" t="s">
        <v>35</v>
      </c>
      <c r="I6" s="1209"/>
      <c r="J6" s="1209" t="s">
        <v>36</v>
      </c>
      <c r="K6" s="1209"/>
      <c r="L6" s="1212" t="s">
        <v>37</v>
      </c>
    </row>
    <row r="7" spans="1:16" ht="30">
      <c r="A7" s="1209"/>
      <c r="B7" s="1209"/>
      <c r="C7" s="1209"/>
      <c r="D7" s="571" t="s">
        <v>38</v>
      </c>
      <c r="E7" s="569" t="s">
        <v>22</v>
      </c>
      <c r="F7" s="571" t="s">
        <v>39</v>
      </c>
      <c r="G7" s="569" t="s">
        <v>40</v>
      </c>
      <c r="H7" s="571" t="s">
        <v>39</v>
      </c>
      <c r="I7" s="569" t="s">
        <v>40</v>
      </c>
      <c r="J7" s="571" t="s">
        <v>39</v>
      </c>
      <c r="K7" s="569" t="s">
        <v>40</v>
      </c>
      <c r="L7" s="1213"/>
    </row>
    <row r="8" spans="1:16" s="254" customFormat="1" ht="21" customHeight="1">
      <c r="A8" s="115">
        <v>1</v>
      </c>
      <c r="B8" s="115">
        <v>2</v>
      </c>
      <c r="C8" s="116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281">
        <v>10</v>
      </c>
      <c r="K8" s="117">
        <v>11</v>
      </c>
      <c r="L8" s="117">
        <v>12</v>
      </c>
    </row>
    <row r="9" spans="1:16" s="189" customFormat="1" ht="25.05" customHeight="1">
      <c r="A9" s="668">
        <v>1</v>
      </c>
      <c r="B9" s="670" t="s">
        <v>217</v>
      </c>
      <c r="C9" s="599" t="s">
        <v>65</v>
      </c>
      <c r="D9" s="599"/>
      <c r="E9" s="669">
        <v>770</v>
      </c>
      <c r="F9" s="599"/>
      <c r="G9" s="599"/>
      <c r="H9" s="602"/>
      <c r="I9" s="599"/>
      <c r="J9" s="602"/>
      <c r="K9" s="599"/>
      <c r="L9" s="599"/>
      <c r="M9" s="1207"/>
      <c r="N9" s="1204"/>
      <c r="O9" s="1204"/>
      <c r="P9" s="1204"/>
    </row>
    <row r="10" spans="1:16" s="189" customFormat="1" ht="25.05" customHeight="1">
      <c r="A10" s="608"/>
      <c r="B10" s="630" t="s">
        <v>42</v>
      </c>
      <c r="C10" s="631" t="s">
        <v>43</v>
      </c>
      <c r="D10" s="591">
        <v>7.0000000000000007E-2</v>
      </c>
      <c r="E10" s="631">
        <f>D10*E9</f>
        <v>53.900000000000006</v>
      </c>
      <c r="F10" s="591"/>
      <c r="G10" s="591"/>
      <c r="H10" s="596">
        <v>4.5999999999999996</v>
      </c>
      <c r="I10" s="596">
        <f>H10*E10</f>
        <v>247.94</v>
      </c>
      <c r="J10" s="596"/>
      <c r="K10" s="596"/>
      <c r="L10" s="596">
        <f t="shared" ref="L10:L14" si="0">K10+I10+G10</f>
        <v>247.94</v>
      </c>
      <c r="M10" s="1203"/>
      <c r="N10" s="1204"/>
      <c r="O10" s="1204"/>
      <c r="P10" s="1204"/>
    </row>
    <row r="11" spans="1:16" s="189" customFormat="1" ht="25.05" customHeight="1">
      <c r="A11" s="609"/>
      <c r="B11" s="608" t="s">
        <v>45</v>
      </c>
      <c r="C11" s="190" t="s">
        <v>2</v>
      </c>
      <c r="D11" s="632">
        <v>4.8399999999999999E-2</v>
      </c>
      <c r="E11" s="633">
        <f>D11*E9</f>
        <v>37.268000000000001</v>
      </c>
      <c r="F11" s="596"/>
      <c r="G11" s="634"/>
      <c r="H11" s="596"/>
      <c r="I11" s="634"/>
      <c r="J11" s="596">
        <v>4</v>
      </c>
      <c r="K11" s="634">
        <f>J11*E11</f>
        <v>149.072</v>
      </c>
      <c r="L11" s="596">
        <f t="shared" si="0"/>
        <v>149.072</v>
      </c>
      <c r="M11" s="588"/>
      <c r="N11" s="128"/>
      <c r="O11" s="128"/>
      <c r="P11" s="128"/>
    </row>
    <row r="12" spans="1:16" s="189" customFormat="1" ht="25.05" customHeight="1">
      <c r="A12" s="591"/>
      <c r="B12" s="671" t="s">
        <v>219</v>
      </c>
      <c r="C12" s="631" t="s">
        <v>65</v>
      </c>
      <c r="D12" s="632"/>
      <c r="E12" s="610">
        <v>750</v>
      </c>
      <c r="F12" s="596">
        <v>2.8</v>
      </c>
      <c r="G12" s="634">
        <f t="shared" ref="G12:G14" si="1">F12*E12</f>
        <v>2100</v>
      </c>
      <c r="H12" s="596"/>
      <c r="I12" s="634"/>
      <c r="J12" s="596"/>
      <c r="K12" s="634"/>
      <c r="L12" s="634">
        <f t="shared" si="0"/>
        <v>2100</v>
      </c>
      <c r="M12" s="588"/>
      <c r="N12" s="128"/>
      <c r="O12" s="128"/>
      <c r="P12" s="128"/>
    </row>
    <row r="13" spans="1:16" s="189" customFormat="1" ht="25.05" customHeight="1">
      <c r="A13" s="609"/>
      <c r="B13" s="671" t="s">
        <v>239</v>
      </c>
      <c r="C13" s="190" t="s">
        <v>65</v>
      </c>
      <c r="D13" s="632"/>
      <c r="E13" s="610">
        <v>20</v>
      </c>
      <c r="F13" s="596">
        <v>4.07</v>
      </c>
      <c r="G13" s="634">
        <f t="shared" ref="G13" si="2">F13*E13</f>
        <v>81.400000000000006</v>
      </c>
      <c r="H13" s="596"/>
      <c r="I13" s="634"/>
      <c r="J13" s="596"/>
      <c r="K13" s="634"/>
      <c r="L13" s="634">
        <f t="shared" ref="L13" si="3">K13+I13+G13</f>
        <v>81.400000000000006</v>
      </c>
      <c r="M13" s="588"/>
      <c r="N13" s="128"/>
      <c r="O13" s="128"/>
      <c r="P13" s="128"/>
    </row>
    <row r="14" spans="1:16" s="189" customFormat="1" ht="25.05" customHeight="1">
      <c r="A14" s="609"/>
      <c r="B14" s="608" t="s">
        <v>51</v>
      </c>
      <c r="C14" s="631" t="s">
        <v>2</v>
      </c>
      <c r="D14" s="632">
        <v>3.5000000000000001E-3</v>
      </c>
      <c r="E14" s="633">
        <f>D14*E9</f>
        <v>2.6949999999999998</v>
      </c>
      <c r="F14" s="596">
        <v>4</v>
      </c>
      <c r="G14" s="634">
        <f t="shared" si="1"/>
        <v>10.78</v>
      </c>
      <c r="H14" s="596"/>
      <c r="I14" s="634"/>
      <c r="J14" s="596"/>
      <c r="K14" s="634"/>
      <c r="L14" s="634">
        <f t="shared" si="0"/>
        <v>10.78</v>
      </c>
      <c r="M14" s="588"/>
      <c r="N14" s="128"/>
      <c r="O14" s="128"/>
      <c r="P14" s="128"/>
    </row>
    <row r="15" spans="1:16" s="189" customFormat="1" ht="25.05" customHeight="1">
      <c r="A15" s="599">
        <v>2</v>
      </c>
      <c r="B15" s="668" t="s">
        <v>218</v>
      </c>
      <c r="C15" s="672" t="s">
        <v>65</v>
      </c>
      <c r="D15" s="674"/>
      <c r="E15" s="675">
        <v>720</v>
      </c>
      <c r="F15" s="676"/>
      <c r="G15" s="673"/>
      <c r="H15" s="599"/>
      <c r="I15" s="599"/>
      <c r="J15" s="599"/>
      <c r="K15" s="599"/>
      <c r="L15" s="673"/>
      <c r="M15" s="1207"/>
      <c r="N15" s="1204"/>
      <c r="O15" s="1204"/>
      <c r="P15" s="1204"/>
    </row>
    <row r="16" spans="1:16" s="189" customFormat="1" ht="25.05" customHeight="1">
      <c r="A16" s="609"/>
      <c r="B16" s="630" t="s">
        <v>42</v>
      </c>
      <c r="C16" s="631" t="s">
        <v>43</v>
      </c>
      <c r="D16" s="591">
        <v>0.26</v>
      </c>
      <c r="E16" s="637">
        <f>D16*E15</f>
        <v>187.20000000000002</v>
      </c>
      <c r="F16" s="591"/>
      <c r="G16" s="634"/>
      <c r="H16" s="596">
        <v>4.5999999999999996</v>
      </c>
      <c r="I16" s="591">
        <f>E16*H16</f>
        <v>861.12</v>
      </c>
      <c r="J16" s="596"/>
      <c r="K16" s="591"/>
      <c r="L16" s="634">
        <f>K16+I16+G16</f>
        <v>861.12</v>
      </c>
      <c r="M16" s="588"/>
      <c r="N16" s="128"/>
      <c r="O16" s="128"/>
      <c r="P16" s="128"/>
    </row>
    <row r="17" spans="1:16" s="189" customFormat="1" ht="25.05" customHeight="1">
      <c r="A17" s="609"/>
      <c r="B17" s="608" t="s">
        <v>45</v>
      </c>
      <c r="C17" s="190" t="s">
        <v>2</v>
      </c>
      <c r="D17" s="632">
        <v>0.122</v>
      </c>
      <c r="E17" s="633">
        <f>D17*E15</f>
        <v>87.84</v>
      </c>
      <c r="F17" s="596"/>
      <c r="G17" s="634"/>
      <c r="H17" s="596"/>
      <c r="I17" s="634"/>
      <c r="J17" s="596">
        <v>4</v>
      </c>
      <c r="K17" s="634">
        <f>J17*E17</f>
        <v>351.36</v>
      </c>
      <c r="L17" s="591">
        <f>K17+I17+G17</f>
        <v>351.36</v>
      </c>
      <c r="M17" s="588"/>
      <c r="N17" s="128"/>
      <c r="O17" s="128"/>
      <c r="P17" s="128"/>
    </row>
    <row r="18" spans="1:16" s="189" customFormat="1" ht="25.05" customHeight="1">
      <c r="A18" s="589"/>
      <c r="B18" s="671" t="s">
        <v>220</v>
      </c>
      <c r="C18" s="586" t="s">
        <v>65</v>
      </c>
      <c r="D18" s="635">
        <v>1</v>
      </c>
      <c r="E18" s="610">
        <f>D18*E15</f>
        <v>720</v>
      </c>
      <c r="F18" s="596">
        <v>0.9</v>
      </c>
      <c r="G18" s="634">
        <f>F18*E18</f>
        <v>648</v>
      </c>
      <c r="H18" s="591"/>
      <c r="I18" s="609"/>
      <c r="J18" s="596"/>
      <c r="K18" s="634"/>
      <c r="L18" s="634">
        <f>K18+I18+G18</f>
        <v>648</v>
      </c>
      <c r="M18" s="1203"/>
      <c r="N18" s="1204"/>
      <c r="O18" s="1204"/>
      <c r="P18" s="1204"/>
    </row>
    <row r="19" spans="1:16" s="189" customFormat="1" ht="25.05" customHeight="1">
      <c r="A19" s="589"/>
      <c r="B19" s="608" t="s">
        <v>51</v>
      </c>
      <c r="C19" s="631" t="s">
        <v>2</v>
      </c>
      <c r="D19" s="632">
        <v>8.2000000000000003E-2</v>
      </c>
      <c r="E19" s="637">
        <f>D19*E15</f>
        <v>59.04</v>
      </c>
      <c r="F19" s="596">
        <v>4</v>
      </c>
      <c r="G19" s="634">
        <f>F19*E19</f>
        <v>236.16</v>
      </c>
      <c r="H19" s="591"/>
      <c r="I19" s="609"/>
      <c r="J19" s="629"/>
      <c r="K19" s="636"/>
      <c r="L19" s="634">
        <f>K19+I19+G19</f>
        <v>236.16</v>
      </c>
      <c r="M19" s="588"/>
      <c r="N19" s="128"/>
      <c r="O19" s="128"/>
      <c r="P19" s="128"/>
    </row>
    <row r="20" spans="1:16" s="189" customFormat="1" ht="25.05" customHeight="1">
      <c r="A20" s="678">
        <v>3</v>
      </c>
      <c r="B20" s="599" t="s">
        <v>89</v>
      </c>
      <c r="C20" s="677" t="s">
        <v>61</v>
      </c>
      <c r="D20" s="678"/>
      <c r="E20" s="679">
        <v>8</v>
      </c>
      <c r="F20" s="678"/>
      <c r="G20" s="680"/>
      <c r="H20" s="681"/>
      <c r="I20" s="678"/>
      <c r="J20" s="681"/>
      <c r="K20" s="678"/>
      <c r="L20" s="680"/>
      <c r="M20" s="588"/>
      <c r="N20" s="128"/>
      <c r="O20" s="128"/>
      <c r="P20" s="128"/>
    </row>
    <row r="21" spans="1:16" s="189" customFormat="1" ht="25.05" customHeight="1">
      <c r="A21" s="639"/>
      <c r="B21" s="630" t="s">
        <v>42</v>
      </c>
      <c r="C21" s="631" t="s">
        <v>43</v>
      </c>
      <c r="D21" s="591">
        <v>0.22</v>
      </c>
      <c r="E21" s="645">
        <f>D21*E20</f>
        <v>1.76</v>
      </c>
      <c r="F21" s="591"/>
      <c r="G21" s="643"/>
      <c r="H21" s="596">
        <v>6</v>
      </c>
      <c r="I21" s="591">
        <f>E21*H21</f>
        <v>10.56</v>
      </c>
      <c r="J21" s="596"/>
      <c r="K21" s="591"/>
      <c r="L21" s="643">
        <f t="shared" ref="L21:L25" si="4">K21+I21+G21</f>
        <v>10.56</v>
      </c>
      <c r="M21" s="588"/>
      <c r="N21" s="128"/>
      <c r="O21" s="128"/>
      <c r="P21" s="128"/>
    </row>
    <row r="22" spans="1:16" s="189" customFormat="1" ht="25.05" customHeight="1">
      <c r="A22" s="639"/>
      <c r="B22" s="671" t="s">
        <v>221</v>
      </c>
      <c r="C22" s="586" t="s">
        <v>61</v>
      </c>
      <c r="D22" s="640">
        <v>1</v>
      </c>
      <c r="E22" s="1134">
        <f>D22*E20</f>
        <v>8</v>
      </c>
      <c r="F22" s="646">
        <v>7.7</v>
      </c>
      <c r="G22" s="643">
        <f t="shared" ref="G22:G25" si="5">F22*E22</f>
        <v>61.6</v>
      </c>
      <c r="H22" s="641"/>
      <c r="I22" s="640"/>
      <c r="J22" s="641"/>
      <c r="K22" s="640"/>
      <c r="L22" s="643">
        <f t="shared" si="4"/>
        <v>61.6</v>
      </c>
      <c r="M22" s="588"/>
      <c r="N22" s="128"/>
      <c r="O22" s="128"/>
      <c r="P22" s="128"/>
    </row>
    <row r="23" spans="1:16" s="189" customFormat="1" ht="25.05" customHeight="1">
      <c r="A23" s="639"/>
      <c r="B23" s="667" t="s">
        <v>224</v>
      </c>
      <c r="C23" s="586" t="s">
        <v>61</v>
      </c>
      <c r="D23" s="590">
        <v>1</v>
      </c>
      <c r="E23" s="996">
        <v>8</v>
      </c>
      <c r="F23" s="682">
        <v>3.2</v>
      </c>
      <c r="G23" s="643">
        <f t="shared" si="5"/>
        <v>25.6</v>
      </c>
      <c r="H23" s="641"/>
      <c r="I23" s="640"/>
      <c r="J23" s="641"/>
      <c r="K23" s="640"/>
      <c r="L23" s="643">
        <f t="shared" si="4"/>
        <v>25.6</v>
      </c>
      <c r="M23" s="588"/>
      <c r="N23" s="128"/>
      <c r="O23" s="128"/>
      <c r="P23" s="128"/>
    </row>
    <row r="24" spans="1:16" s="189" customFormat="1" ht="25.05" customHeight="1">
      <c r="A24" s="609"/>
      <c r="B24" s="647" t="s">
        <v>237</v>
      </c>
      <c r="C24" s="586" t="s">
        <v>61</v>
      </c>
      <c r="D24" s="191">
        <v>1</v>
      </c>
      <c r="E24" s="996">
        <f>D24*E20</f>
        <v>8</v>
      </c>
      <c r="F24" s="648">
        <v>1.1000000000000001</v>
      </c>
      <c r="G24" s="103">
        <f t="shared" si="5"/>
        <v>8.8000000000000007</v>
      </c>
      <c r="H24" s="104"/>
      <c r="I24" s="103"/>
      <c r="J24" s="104"/>
      <c r="K24" s="103"/>
      <c r="L24" s="103">
        <f t="shared" si="4"/>
        <v>8.8000000000000007</v>
      </c>
      <c r="M24" s="1203"/>
      <c r="N24" s="1204"/>
      <c r="O24" s="1204"/>
      <c r="P24" s="1204"/>
    </row>
    <row r="25" spans="1:16" s="189" customFormat="1" ht="25.05" customHeight="1">
      <c r="A25" s="639"/>
      <c r="B25" s="608" t="s">
        <v>51</v>
      </c>
      <c r="C25" s="631" t="s">
        <v>2</v>
      </c>
      <c r="D25" s="640">
        <v>8.2799999999999999E-2</v>
      </c>
      <c r="E25" s="645">
        <f>D25*E20</f>
        <v>0.66239999999999999</v>
      </c>
      <c r="F25" s="640">
        <v>4</v>
      </c>
      <c r="G25" s="643">
        <f t="shared" si="5"/>
        <v>2.6496</v>
      </c>
      <c r="H25" s="641"/>
      <c r="I25" s="640"/>
      <c r="J25" s="641"/>
      <c r="K25" s="640"/>
      <c r="L25" s="643">
        <f t="shared" si="4"/>
        <v>2.6496</v>
      </c>
      <c r="M25" s="588"/>
      <c r="N25" s="128"/>
      <c r="O25" s="128"/>
      <c r="P25" s="128"/>
    </row>
    <row r="26" spans="1:16" s="189" customFormat="1" ht="25.05" customHeight="1">
      <c r="A26" s="678">
        <v>4</v>
      </c>
      <c r="B26" s="668" t="s">
        <v>90</v>
      </c>
      <c r="C26" s="677" t="s">
        <v>61</v>
      </c>
      <c r="D26" s="678"/>
      <c r="E26" s="679">
        <v>2</v>
      </c>
      <c r="F26" s="678"/>
      <c r="G26" s="680"/>
      <c r="H26" s="681"/>
      <c r="I26" s="678"/>
      <c r="J26" s="681"/>
      <c r="K26" s="678"/>
      <c r="L26" s="680"/>
      <c r="M26" s="588"/>
      <c r="N26" s="128"/>
      <c r="O26" s="128"/>
      <c r="P26" s="128"/>
    </row>
    <row r="27" spans="1:16" s="189" customFormat="1" ht="25.05" customHeight="1">
      <c r="A27" s="639"/>
      <c r="B27" s="630" t="s">
        <v>42</v>
      </c>
      <c r="C27" s="631" t="s">
        <v>43</v>
      </c>
      <c r="D27" s="591">
        <v>0.2</v>
      </c>
      <c r="E27" s="645">
        <f>D27*E26</f>
        <v>0.4</v>
      </c>
      <c r="F27" s="591"/>
      <c r="G27" s="643"/>
      <c r="H27" s="596">
        <v>6</v>
      </c>
      <c r="I27" s="591">
        <f>E27*H27</f>
        <v>2.4000000000000004</v>
      </c>
      <c r="J27" s="596"/>
      <c r="K27" s="591"/>
      <c r="L27" s="643">
        <f>K27+I27+G27</f>
        <v>2.4000000000000004</v>
      </c>
      <c r="M27" s="588"/>
      <c r="N27" s="128"/>
      <c r="O27" s="128"/>
      <c r="P27" s="128"/>
    </row>
    <row r="28" spans="1:16" s="189" customFormat="1" ht="25.05" customHeight="1">
      <c r="A28" s="639"/>
      <c r="B28" s="667" t="s">
        <v>223</v>
      </c>
      <c r="C28" s="644" t="s">
        <v>61</v>
      </c>
      <c r="D28" s="640">
        <v>1</v>
      </c>
      <c r="E28" s="610">
        <f>D28*E26</f>
        <v>2</v>
      </c>
      <c r="F28" s="640">
        <v>8.5</v>
      </c>
      <c r="G28" s="643">
        <f>F28*E28</f>
        <v>17</v>
      </c>
      <c r="H28" s="641"/>
      <c r="I28" s="640"/>
      <c r="J28" s="641"/>
      <c r="K28" s="640"/>
      <c r="L28" s="643">
        <f>K28+I28+G28</f>
        <v>17</v>
      </c>
      <c r="M28" s="588"/>
      <c r="N28" s="128"/>
      <c r="O28" s="128"/>
      <c r="P28" s="128"/>
    </row>
    <row r="29" spans="1:16" s="189" customFormat="1" ht="25.05" customHeight="1">
      <c r="A29" s="639"/>
      <c r="B29" s="667" t="s">
        <v>224</v>
      </c>
      <c r="C29" s="199"/>
      <c r="D29" s="590"/>
      <c r="E29" s="995">
        <v>2</v>
      </c>
      <c r="F29" s="683">
        <v>3.2</v>
      </c>
      <c r="G29" s="643">
        <f>F29*E29</f>
        <v>6.4</v>
      </c>
      <c r="H29" s="641"/>
      <c r="I29" s="640"/>
      <c r="J29" s="641"/>
      <c r="K29" s="640"/>
      <c r="L29" s="643">
        <f>K29+I29+G29</f>
        <v>6.4</v>
      </c>
      <c r="M29" s="588"/>
      <c r="N29" s="128"/>
      <c r="O29" s="128"/>
      <c r="P29" s="128"/>
    </row>
    <row r="30" spans="1:16" s="189" customFormat="1" ht="25.05" customHeight="1">
      <c r="A30" s="609"/>
      <c r="B30" s="647" t="s">
        <v>237</v>
      </c>
      <c r="C30" s="586" t="s">
        <v>61</v>
      </c>
      <c r="D30" s="102"/>
      <c r="E30" s="996">
        <v>2</v>
      </c>
      <c r="F30" s="648">
        <v>1.1000000000000001</v>
      </c>
      <c r="G30" s="103">
        <f t="shared" ref="G30:G31" si="6">F30*E30</f>
        <v>2.2000000000000002</v>
      </c>
      <c r="H30" s="104"/>
      <c r="I30" s="103"/>
      <c r="J30" s="104"/>
      <c r="K30" s="103"/>
      <c r="L30" s="103">
        <f t="shared" ref="L30:L31" si="7">K30+I30+G30</f>
        <v>2.2000000000000002</v>
      </c>
      <c r="M30" s="1203"/>
      <c r="N30" s="1204"/>
      <c r="O30" s="1204"/>
      <c r="P30" s="1204"/>
    </row>
    <row r="31" spans="1:16" s="189" customFormat="1" ht="25.05" customHeight="1">
      <c r="A31" s="639"/>
      <c r="B31" s="608" t="s">
        <v>51</v>
      </c>
      <c r="C31" s="631" t="s">
        <v>2</v>
      </c>
      <c r="D31" s="640">
        <v>8.2500000000000004E-2</v>
      </c>
      <c r="E31" s="645">
        <f>D31*E26</f>
        <v>0.16500000000000001</v>
      </c>
      <c r="F31" s="640">
        <v>4</v>
      </c>
      <c r="G31" s="643">
        <f t="shared" si="6"/>
        <v>0.66</v>
      </c>
      <c r="H31" s="641"/>
      <c r="I31" s="640"/>
      <c r="J31" s="641"/>
      <c r="K31" s="640"/>
      <c r="L31" s="643">
        <f t="shared" si="7"/>
        <v>0.66</v>
      </c>
      <c r="M31" s="588"/>
      <c r="N31" s="128"/>
      <c r="O31" s="128"/>
      <c r="P31" s="128"/>
    </row>
    <row r="32" spans="1:16" s="189" customFormat="1" ht="25.05" customHeight="1">
      <c r="A32" s="678">
        <v>5</v>
      </c>
      <c r="B32" s="668" t="s">
        <v>234</v>
      </c>
      <c r="C32" s="677" t="s">
        <v>61</v>
      </c>
      <c r="D32" s="678"/>
      <c r="E32" s="679">
        <v>1</v>
      </c>
      <c r="F32" s="678"/>
      <c r="G32" s="680"/>
      <c r="H32" s="681"/>
      <c r="I32" s="678"/>
      <c r="J32" s="681"/>
      <c r="K32" s="678"/>
      <c r="L32" s="680"/>
      <c r="M32" s="588"/>
      <c r="N32" s="128"/>
      <c r="O32" s="128"/>
      <c r="P32" s="128"/>
    </row>
    <row r="33" spans="1:16" s="189" customFormat="1" ht="25.05" customHeight="1">
      <c r="A33" s="639"/>
      <c r="B33" s="630" t="s">
        <v>42</v>
      </c>
      <c r="C33" s="631" t="s">
        <v>43</v>
      </c>
      <c r="D33" s="591">
        <v>0.27</v>
      </c>
      <c r="E33" s="645">
        <f>D33*E32</f>
        <v>0.27</v>
      </c>
      <c r="F33" s="591"/>
      <c r="G33" s="643"/>
      <c r="H33" s="596">
        <v>6</v>
      </c>
      <c r="I33" s="591">
        <f>E33*H33</f>
        <v>1.62</v>
      </c>
      <c r="J33" s="596"/>
      <c r="K33" s="591"/>
      <c r="L33" s="643">
        <f>K33+I33+G33</f>
        <v>1.62</v>
      </c>
      <c r="M33" s="588"/>
      <c r="N33" s="128"/>
      <c r="O33" s="128"/>
      <c r="P33" s="128"/>
    </row>
    <row r="34" spans="1:16" s="189" customFormat="1" ht="25.05" customHeight="1">
      <c r="A34" s="639"/>
      <c r="B34" s="667" t="s">
        <v>222</v>
      </c>
      <c r="C34" s="644" t="s">
        <v>61</v>
      </c>
      <c r="D34" s="640">
        <v>1</v>
      </c>
      <c r="E34" s="610">
        <f>D34*E32</f>
        <v>1</v>
      </c>
      <c r="F34" s="641">
        <v>9.8000000000000007</v>
      </c>
      <c r="G34" s="643">
        <f>F34*E34</f>
        <v>9.8000000000000007</v>
      </c>
      <c r="H34" s="641"/>
      <c r="I34" s="640"/>
      <c r="J34" s="641"/>
      <c r="K34" s="640"/>
      <c r="L34" s="643">
        <f>K34+I34+G34</f>
        <v>9.8000000000000007</v>
      </c>
      <c r="M34" s="588"/>
      <c r="N34" s="128"/>
      <c r="O34" s="128"/>
      <c r="P34" s="128"/>
    </row>
    <row r="35" spans="1:16" s="189" customFormat="1" ht="25.05" customHeight="1">
      <c r="A35" s="639"/>
      <c r="B35" s="667" t="s">
        <v>224</v>
      </c>
      <c r="C35" s="586" t="s">
        <v>61</v>
      </c>
      <c r="D35" s="590"/>
      <c r="E35" s="995">
        <v>1</v>
      </c>
      <c r="F35" s="682">
        <v>3.2</v>
      </c>
      <c r="G35" s="643">
        <f t="shared" ref="G35" si="8">F35*E35</f>
        <v>3.2</v>
      </c>
      <c r="H35" s="641"/>
      <c r="I35" s="640"/>
      <c r="J35" s="641"/>
      <c r="K35" s="640"/>
      <c r="L35" s="643">
        <f t="shared" ref="L35" si="9">K35+I35+G35</f>
        <v>3.2</v>
      </c>
      <c r="M35" s="588"/>
      <c r="N35" s="128"/>
      <c r="O35" s="128"/>
      <c r="P35" s="128"/>
    </row>
    <row r="36" spans="1:16" s="189" customFormat="1" ht="25.05" customHeight="1">
      <c r="A36" s="609"/>
      <c r="B36" s="647" t="s">
        <v>237</v>
      </c>
      <c r="C36" s="586" t="s">
        <v>61</v>
      </c>
      <c r="D36" s="102"/>
      <c r="E36" s="996">
        <v>1</v>
      </c>
      <c r="F36" s="648">
        <v>1.1000000000000001</v>
      </c>
      <c r="G36" s="103">
        <f t="shared" ref="G36:G37" si="10">F36*E36</f>
        <v>1.1000000000000001</v>
      </c>
      <c r="H36" s="104"/>
      <c r="I36" s="103"/>
      <c r="J36" s="104"/>
      <c r="K36" s="103"/>
      <c r="L36" s="103">
        <f t="shared" ref="L36:L37" si="11">K36+I36+G36</f>
        <v>1.1000000000000001</v>
      </c>
      <c r="M36" s="1203"/>
      <c r="N36" s="1204"/>
      <c r="O36" s="1204"/>
      <c r="P36" s="1204"/>
    </row>
    <row r="37" spans="1:16" s="189" customFormat="1" ht="25.05" customHeight="1">
      <c r="A37" s="639"/>
      <c r="B37" s="608" t="s">
        <v>51</v>
      </c>
      <c r="C37" s="631" t="s">
        <v>2</v>
      </c>
      <c r="D37" s="640">
        <v>7.46E-2</v>
      </c>
      <c r="E37" s="645">
        <f>D37*E32</f>
        <v>7.46E-2</v>
      </c>
      <c r="F37" s="640">
        <v>4</v>
      </c>
      <c r="G37" s="643">
        <f t="shared" si="10"/>
        <v>0.2984</v>
      </c>
      <c r="H37" s="641"/>
      <c r="I37" s="640"/>
      <c r="J37" s="641"/>
      <c r="K37" s="640"/>
      <c r="L37" s="643">
        <f t="shared" si="11"/>
        <v>0.2984</v>
      </c>
      <c r="M37" s="588"/>
      <c r="N37" s="128"/>
      <c r="O37" s="128"/>
      <c r="P37" s="128"/>
    </row>
    <row r="38" spans="1:16" s="189" customFormat="1" ht="25.05" customHeight="1">
      <c r="A38" s="639"/>
      <c r="B38" s="608"/>
      <c r="C38" s="631"/>
      <c r="D38" s="640"/>
      <c r="E38" s="645"/>
      <c r="F38" s="640"/>
      <c r="G38" s="643"/>
      <c r="H38" s="641"/>
      <c r="I38" s="640"/>
      <c r="J38" s="641"/>
      <c r="K38" s="640"/>
      <c r="L38" s="643"/>
      <c r="M38" s="588"/>
      <c r="N38" s="128"/>
      <c r="O38" s="128"/>
      <c r="P38" s="128"/>
    </row>
    <row r="39" spans="1:16" s="189" customFormat="1" ht="25.05" customHeight="1">
      <c r="A39" s="678">
        <v>6</v>
      </c>
      <c r="B39" s="668" t="s">
        <v>236</v>
      </c>
      <c r="C39" s="677" t="s">
        <v>61</v>
      </c>
      <c r="D39" s="599"/>
      <c r="E39" s="669">
        <v>20</v>
      </c>
      <c r="F39" s="678"/>
      <c r="G39" s="680"/>
      <c r="H39" s="681"/>
      <c r="I39" s="678"/>
      <c r="J39" s="681"/>
      <c r="K39" s="678"/>
      <c r="L39" s="680"/>
      <c r="M39" s="1203"/>
      <c r="N39" s="1204"/>
      <c r="O39" s="1204"/>
      <c r="P39" s="1204"/>
    </row>
    <row r="40" spans="1:16" s="189" customFormat="1" ht="25.05" customHeight="1">
      <c r="A40" s="639"/>
      <c r="B40" s="630" t="s">
        <v>42</v>
      </c>
      <c r="C40" s="631" t="s">
        <v>43</v>
      </c>
      <c r="D40" s="591">
        <v>0.69</v>
      </c>
      <c r="E40" s="645">
        <f>D40*E39</f>
        <v>13.799999999999999</v>
      </c>
      <c r="F40" s="591"/>
      <c r="G40" s="634"/>
      <c r="H40" s="596">
        <v>6</v>
      </c>
      <c r="I40" s="591">
        <f>E40*H40</f>
        <v>82.8</v>
      </c>
      <c r="J40" s="596"/>
      <c r="K40" s="591"/>
      <c r="L40" s="634">
        <f>K40+I40+G40</f>
        <v>82.8</v>
      </c>
      <c r="M40" s="588"/>
      <c r="N40" s="128"/>
      <c r="O40" s="128"/>
      <c r="P40" s="128"/>
    </row>
    <row r="41" spans="1:16" s="189" customFormat="1" ht="25.05" customHeight="1">
      <c r="A41" s="639"/>
      <c r="B41" s="608" t="s">
        <v>45</v>
      </c>
      <c r="C41" s="190" t="s">
        <v>2</v>
      </c>
      <c r="D41" s="591">
        <v>1.22</v>
      </c>
      <c r="E41" s="645">
        <f>D41*E39</f>
        <v>24.4</v>
      </c>
      <c r="F41" s="591"/>
      <c r="G41" s="634"/>
      <c r="H41" s="596"/>
      <c r="I41" s="591"/>
      <c r="J41" s="596">
        <v>4</v>
      </c>
      <c r="K41" s="591">
        <f>J41*E41</f>
        <v>97.6</v>
      </c>
      <c r="L41" s="634">
        <f>K41+I41+G41</f>
        <v>97.6</v>
      </c>
      <c r="M41" s="588"/>
      <c r="N41" s="128"/>
      <c r="O41" s="128"/>
      <c r="P41" s="128"/>
    </row>
    <row r="42" spans="1:16" s="189" customFormat="1" ht="25.05" customHeight="1">
      <c r="A42" s="639"/>
      <c r="B42" s="699" t="s">
        <v>235</v>
      </c>
      <c r="C42" s="644" t="s">
        <v>61</v>
      </c>
      <c r="D42" s="640">
        <v>1</v>
      </c>
      <c r="E42" s="1135">
        <f>D42*E39</f>
        <v>20</v>
      </c>
      <c r="F42" s="641">
        <f>20.8/1.18</f>
        <v>17.627118644067799</v>
      </c>
      <c r="G42" s="643">
        <f t="shared" ref="G42:G43" si="12">F42*E42</f>
        <v>352.54237288135596</v>
      </c>
      <c r="H42" s="641"/>
      <c r="I42" s="640"/>
      <c r="J42" s="641"/>
      <c r="K42" s="640"/>
      <c r="L42" s="643">
        <f t="shared" ref="L42:L43" si="13">K42+I42+G42</f>
        <v>352.54237288135596</v>
      </c>
      <c r="M42" s="588"/>
      <c r="N42" s="128"/>
      <c r="O42" s="128"/>
      <c r="P42" s="128"/>
    </row>
    <row r="43" spans="1:16" s="189" customFormat="1" ht="25.05" customHeight="1">
      <c r="A43" s="639"/>
      <c r="B43" s="608" t="s">
        <v>51</v>
      </c>
      <c r="C43" s="631" t="s">
        <v>2</v>
      </c>
      <c r="D43" s="591">
        <v>1.33</v>
      </c>
      <c r="E43" s="645">
        <f>D43*E39</f>
        <v>26.6</v>
      </c>
      <c r="F43" s="640">
        <v>4</v>
      </c>
      <c r="G43" s="643">
        <f t="shared" si="12"/>
        <v>106.4</v>
      </c>
      <c r="H43" s="641"/>
      <c r="I43" s="640"/>
      <c r="J43" s="641"/>
      <c r="K43" s="640"/>
      <c r="L43" s="643">
        <f t="shared" si="13"/>
        <v>106.4</v>
      </c>
      <c r="M43" s="588"/>
      <c r="N43" s="128"/>
      <c r="O43" s="128"/>
      <c r="P43" s="128"/>
    </row>
    <row r="44" spans="1:16" s="189" customFormat="1" ht="25.05" customHeight="1">
      <c r="A44" s="678">
        <v>7</v>
      </c>
      <c r="B44" s="599" t="s">
        <v>229</v>
      </c>
      <c r="C44" s="691"/>
      <c r="D44" s="692"/>
      <c r="E44" s="693"/>
      <c r="F44" s="694"/>
      <c r="G44" s="695"/>
      <c r="H44" s="696"/>
      <c r="I44" s="695"/>
      <c r="J44" s="696"/>
      <c r="K44" s="695"/>
      <c r="L44" s="695"/>
      <c r="M44" s="588"/>
      <c r="N44" s="128"/>
      <c r="O44" s="128"/>
      <c r="P44" s="128"/>
    </row>
    <row r="45" spans="1:16" s="189" customFormat="1" ht="25.05" customHeight="1">
      <c r="A45" s="639"/>
      <c r="B45" s="667" t="s">
        <v>230</v>
      </c>
      <c r="C45" s="190" t="s">
        <v>61</v>
      </c>
      <c r="D45" s="1018"/>
      <c r="E45" s="610">
        <v>4</v>
      </c>
      <c r="F45" s="641">
        <v>2.2000000000000002</v>
      </c>
      <c r="G45" s="698">
        <f t="shared" ref="G45:G48" si="14">E45*F45</f>
        <v>8.8000000000000007</v>
      </c>
      <c r="H45" s="698"/>
      <c r="I45" s="698"/>
      <c r="J45" s="698"/>
      <c r="K45" s="698"/>
      <c r="L45" s="698">
        <f t="shared" ref="L45:L48" si="15">K45+I45+G45</f>
        <v>8.8000000000000007</v>
      </c>
      <c r="M45" s="588"/>
      <c r="N45" s="128"/>
      <c r="O45" s="128"/>
      <c r="P45" s="128"/>
    </row>
    <row r="46" spans="1:16" s="189" customFormat="1" ht="25.05" customHeight="1">
      <c r="A46" s="639"/>
      <c r="B46" s="700" t="s">
        <v>231</v>
      </c>
      <c r="C46" s="190" t="s">
        <v>61</v>
      </c>
      <c r="D46" s="697"/>
      <c r="E46" s="1136">
        <v>30</v>
      </c>
      <c r="F46" s="641">
        <v>0.98</v>
      </c>
      <c r="G46" s="698">
        <f t="shared" si="14"/>
        <v>29.4</v>
      </c>
      <c r="H46" s="698"/>
      <c r="I46" s="698"/>
      <c r="J46" s="698"/>
      <c r="K46" s="698"/>
      <c r="L46" s="698">
        <f t="shared" si="15"/>
        <v>29.4</v>
      </c>
      <c r="M46" s="588"/>
      <c r="N46" s="128"/>
      <c r="O46" s="128"/>
      <c r="P46" s="128"/>
    </row>
    <row r="47" spans="1:16" s="189" customFormat="1" ht="25.05" customHeight="1">
      <c r="A47" s="639"/>
      <c r="B47" s="667" t="s">
        <v>232</v>
      </c>
      <c r="C47" s="190" t="s">
        <v>61</v>
      </c>
      <c r="D47" s="697"/>
      <c r="E47" s="1136">
        <v>25</v>
      </c>
      <c r="F47" s="641">
        <v>1.57</v>
      </c>
      <c r="G47" s="698">
        <f t="shared" si="14"/>
        <v>39.25</v>
      </c>
      <c r="H47" s="698"/>
      <c r="I47" s="698"/>
      <c r="J47" s="698"/>
      <c r="K47" s="698"/>
      <c r="L47" s="698">
        <f t="shared" si="15"/>
        <v>39.25</v>
      </c>
      <c r="M47" s="588"/>
      <c r="N47" s="128"/>
      <c r="O47" s="128"/>
      <c r="P47" s="128"/>
    </row>
    <row r="48" spans="1:16" s="189" customFormat="1" ht="25.05" customHeight="1">
      <c r="A48" s="639"/>
      <c r="B48" s="667" t="s">
        <v>233</v>
      </c>
      <c r="C48" s="190" t="s">
        <v>61</v>
      </c>
      <c r="D48" s="697"/>
      <c r="E48" s="1136">
        <v>20</v>
      </c>
      <c r="F48" s="641">
        <v>1.79</v>
      </c>
      <c r="G48" s="698">
        <f t="shared" si="14"/>
        <v>35.799999999999997</v>
      </c>
      <c r="H48" s="698"/>
      <c r="I48" s="698"/>
      <c r="J48" s="698"/>
      <c r="K48" s="698"/>
      <c r="L48" s="698">
        <f t="shared" si="15"/>
        <v>35.799999999999997</v>
      </c>
      <c r="M48" s="588"/>
      <c r="N48" s="128"/>
      <c r="O48" s="128"/>
      <c r="P48" s="128"/>
    </row>
    <row r="49" spans="1:23" s="189" customFormat="1" ht="25.05" customHeight="1" thickBot="1">
      <c r="A49" s="639"/>
      <c r="B49" s="608"/>
      <c r="C49" s="190"/>
      <c r="D49" s="591"/>
      <c r="E49" s="610"/>
      <c r="F49" s="641"/>
      <c r="G49" s="634"/>
      <c r="H49" s="596"/>
      <c r="I49" s="634"/>
      <c r="J49" s="596"/>
      <c r="K49" s="634"/>
      <c r="L49" s="634"/>
      <c r="M49" s="588"/>
      <c r="N49" s="128"/>
      <c r="O49" s="128"/>
      <c r="P49" s="128"/>
    </row>
    <row r="50" spans="1:23" s="42" customFormat="1" ht="25.05" customHeight="1">
      <c r="A50" s="201"/>
      <c r="B50" s="203" t="s">
        <v>21</v>
      </c>
      <c r="C50" s="203"/>
      <c r="D50" s="202"/>
      <c r="E50" s="203"/>
      <c r="F50" s="203"/>
      <c r="G50" s="204">
        <f>SUM(G9:G49)</f>
        <v>3787.8403728813564</v>
      </c>
      <c r="H50" s="204"/>
      <c r="I50" s="204">
        <f>SUM(I9:I49)</f>
        <v>1206.4399999999998</v>
      </c>
      <c r="J50" s="204"/>
      <c r="K50" s="204">
        <f>SUM(K9:K49)</f>
        <v>598.03200000000004</v>
      </c>
      <c r="L50" s="204">
        <f>SUM(L9:L49)</f>
        <v>5592.3123728813562</v>
      </c>
      <c r="M50" s="588"/>
      <c r="N50" s="128"/>
      <c r="O50" s="128"/>
      <c r="P50" s="128"/>
      <c r="Q50" s="189"/>
      <c r="R50" s="189"/>
      <c r="S50" s="189"/>
      <c r="T50" s="189"/>
      <c r="U50" s="189"/>
      <c r="V50" s="189"/>
      <c r="W50" s="189"/>
    </row>
    <row r="51" spans="1:23" s="189" customFormat="1" ht="25.05" customHeight="1">
      <c r="A51" s="822"/>
      <c r="B51" s="832" t="s">
        <v>328</v>
      </c>
      <c r="C51" s="955">
        <v>0.05</v>
      </c>
      <c r="D51" s="823"/>
      <c r="E51" s="824"/>
      <c r="F51" s="824"/>
      <c r="G51" s="827"/>
      <c r="H51" s="824"/>
      <c r="I51" s="827"/>
      <c r="J51" s="826"/>
      <c r="K51" s="827"/>
      <c r="L51" s="827">
        <f>G50*C51</f>
        <v>189.39201864406783</v>
      </c>
      <c r="M51" s="153"/>
      <c r="N51" s="128"/>
      <c r="T51" s="284"/>
    </row>
    <row r="52" spans="1:23" s="189" customFormat="1" ht="25.05" customHeight="1">
      <c r="A52" s="822"/>
      <c r="B52" s="129" t="s">
        <v>21</v>
      </c>
      <c r="C52" s="814"/>
      <c r="D52" s="823"/>
      <c r="E52" s="824"/>
      <c r="F52" s="824"/>
      <c r="G52" s="827"/>
      <c r="H52" s="824"/>
      <c r="I52" s="827"/>
      <c r="J52" s="826"/>
      <c r="K52" s="827"/>
      <c r="L52" s="956">
        <f>L50+L51</f>
        <v>5781.7043915254244</v>
      </c>
      <c r="M52" s="153"/>
      <c r="N52" s="128"/>
      <c r="T52" s="284"/>
    </row>
    <row r="53" spans="1:23" s="42" customFormat="1" ht="25.05" customHeight="1">
      <c r="A53" s="205"/>
      <c r="B53" s="638" t="s">
        <v>84</v>
      </c>
      <c r="C53" s="649">
        <v>0.75</v>
      </c>
      <c r="D53" s="949"/>
      <c r="E53" s="649"/>
      <c r="F53" s="949"/>
      <c r="G53" s="650"/>
      <c r="H53" s="650"/>
      <c r="I53" s="650"/>
      <c r="J53" s="650"/>
      <c r="K53" s="651"/>
      <c r="L53" s="596">
        <f>I50*C53</f>
        <v>904.82999999999993</v>
      </c>
      <c r="M53" s="948"/>
      <c r="N53" s="128"/>
      <c r="O53" s="128"/>
      <c r="P53" s="128"/>
      <c r="Q53" s="189"/>
      <c r="R53" s="189"/>
      <c r="S53" s="189"/>
      <c r="T53" s="189"/>
      <c r="U53" s="189"/>
      <c r="V53" s="189"/>
      <c r="W53" s="189"/>
    </row>
    <row r="54" spans="1:23" s="42" customFormat="1" ht="25.05" customHeight="1">
      <c r="A54" s="205"/>
      <c r="B54" s="949" t="s">
        <v>21</v>
      </c>
      <c r="C54" s="609"/>
      <c r="D54" s="949"/>
      <c r="E54" s="609"/>
      <c r="F54" s="609"/>
      <c r="G54" s="652"/>
      <c r="H54" s="652"/>
      <c r="I54" s="652"/>
      <c r="J54" s="652"/>
      <c r="K54" s="653"/>
      <c r="L54" s="629">
        <f>L52+L53</f>
        <v>6686.5343915254243</v>
      </c>
      <c r="M54" s="948"/>
      <c r="N54" s="128"/>
      <c r="O54" s="128"/>
      <c r="P54" s="128"/>
      <c r="Q54" s="189"/>
      <c r="R54" s="189"/>
      <c r="S54" s="189"/>
      <c r="T54" s="189"/>
      <c r="U54" s="189"/>
      <c r="V54" s="189"/>
      <c r="W54" s="189"/>
    </row>
    <row r="55" spans="1:23" s="42" customFormat="1" ht="25.05" customHeight="1">
      <c r="A55" s="205"/>
      <c r="B55" s="638" t="s">
        <v>87</v>
      </c>
      <c r="C55" s="649">
        <v>0.08</v>
      </c>
      <c r="D55" s="949"/>
      <c r="E55" s="649"/>
      <c r="F55" s="949"/>
      <c r="G55" s="650"/>
      <c r="H55" s="650"/>
      <c r="I55" s="650"/>
      <c r="J55" s="650"/>
      <c r="K55" s="651"/>
      <c r="L55" s="596">
        <f>L54*C55</f>
        <v>534.92275132203395</v>
      </c>
      <c r="M55" s="948"/>
      <c r="N55" s="128"/>
      <c r="O55" s="128"/>
      <c r="P55" s="128"/>
      <c r="Q55" s="189"/>
      <c r="R55" s="189"/>
      <c r="S55" s="189"/>
      <c r="T55" s="189"/>
      <c r="U55" s="189"/>
      <c r="V55" s="189"/>
      <c r="W55" s="189"/>
    </row>
    <row r="56" spans="1:23" s="189" customFormat="1" ht="25.05" customHeight="1">
      <c r="A56" s="205"/>
      <c r="B56" s="949" t="s">
        <v>21</v>
      </c>
      <c r="C56" s="609"/>
      <c r="D56" s="949"/>
      <c r="E56" s="609"/>
      <c r="F56" s="609"/>
      <c r="G56" s="652"/>
      <c r="H56" s="652"/>
      <c r="I56" s="652"/>
      <c r="J56" s="652"/>
      <c r="K56" s="653"/>
      <c r="L56" s="629">
        <f>SUM(L54:L55)</f>
        <v>7221.4571428474583</v>
      </c>
      <c r="M56" s="948"/>
      <c r="N56" s="128"/>
      <c r="O56" s="128"/>
      <c r="P56" s="128"/>
    </row>
    <row r="57" spans="1:23" s="42" customFormat="1" ht="15.75" customHeight="1">
      <c r="A57" s="205"/>
      <c r="B57" s="638"/>
      <c r="C57" s="649"/>
      <c r="D57" s="591"/>
      <c r="E57" s="649"/>
      <c r="F57" s="591"/>
      <c r="G57" s="650"/>
      <c r="H57" s="650"/>
      <c r="I57" s="650"/>
      <c r="J57" s="650"/>
      <c r="K57" s="651"/>
      <c r="L57" s="596"/>
      <c r="M57" s="588"/>
      <c r="N57" s="128"/>
      <c r="O57" s="128"/>
      <c r="P57" s="128"/>
      <c r="Q57" s="189"/>
      <c r="R57" s="189"/>
      <c r="S57" s="189"/>
      <c r="T57" s="189"/>
      <c r="U57" s="189"/>
      <c r="V57" s="189"/>
      <c r="W57" s="189"/>
    </row>
    <row r="58" spans="1:23" s="42" customFormat="1" ht="15.75" customHeight="1">
      <c r="A58" s="609"/>
      <c r="B58" s="654"/>
      <c r="C58" s="591"/>
      <c r="D58" s="591"/>
      <c r="E58" s="596"/>
      <c r="F58" s="641"/>
      <c r="G58" s="634"/>
      <c r="H58" s="596"/>
      <c r="I58" s="634"/>
      <c r="J58" s="596"/>
      <c r="K58" s="634"/>
      <c r="L58" s="634"/>
      <c r="M58" s="588"/>
      <c r="N58" s="588"/>
      <c r="O58" s="588"/>
      <c r="P58" s="588"/>
    </row>
    <row r="59" spans="1:23" s="7" customFormat="1">
      <c r="A59" s="623"/>
      <c r="B59" s="623" t="s">
        <v>225</v>
      </c>
      <c r="C59" s="569"/>
      <c r="D59" s="626"/>
      <c r="E59" s="571"/>
      <c r="F59" s="571"/>
      <c r="G59" s="571"/>
      <c r="H59" s="571"/>
      <c r="I59" s="571"/>
      <c r="J59" s="571"/>
      <c r="K59" s="571"/>
      <c r="L59" s="571"/>
      <c r="M59" s="625"/>
      <c r="N59" s="625"/>
      <c r="O59" s="625"/>
      <c r="P59" s="625"/>
      <c r="Q59" s="625"/>
    </row>
    <row r="60" spans="1:23" s="10" customFormat="1" ht="49.8" customHeight="1">
      <c r="A60" s="599">
        <v>1</v>
      </c>
      <c r="B60" s="668" t="s">
        <v>228</v>
      </c>
      <c r="C60" s="599" t="s">
        <v>41</v>
      </c>
      <c r="D60" s="601"/>
      <c r="E60" s="602">
        <v>20.25</v>
      </c>
      <c r="F60" s="602"/>
      <c r="G60" s="602"/>
      <c r="H60" s="602"/>
      <c r="I60" s="602"/>
      <c r="J60" s="602"/>
      <c r="K60" s="602"/>
      <c r="L60" s="602"/>
      <c r="M60" s="1205"/>
      <c r="N60" s="1206"/>
      <c r="O60" s="1206"/>
      <c r="P60" s="1206"/>
      <c r="Q60" s="1206"/>
    </row>
    <row r="61" spans="1:23" s="7" customFormat="1" ht="17.399999999999999">
      <c r="A61" s="623"/>
      <c r="B61" s="576" t="s">
        <v>42</v>
      </c>
      <c r="C61" s="814" t="s">
        <v>139</v>
      </c>
      <c r="D61" s="626">
        <v>1</v>
      </c>
      <c r="E61" s="610">
        <f>D61*E60</f>
        <v>20.25</v>
      </c>
      <c r="F61" s="596"/>
      <c r="G61" s="571"/>
      <c r="H61" s="571">
        <v>37.5</v>
      </c>
      <c r="I61" s="571">
        <f>H61*E61</f>
        <v>759.375</v>
      </c>
      <c r="J61" s="571"/>
      <c r="K61" s="571"/>
      <c r="L61" s="571">
        <f>K61+I61+G61</f>
        <v>759.375</v>
      </c>
      <c r="M61" s="625"/>
      <c r="N61" s="625"/>
      <c r="O61" s="625"/>
      <c r="P61" s="625"/>
      <c r="Q61" s="625"/>
    </row>
    <row r="62" spans="1:23" s="3" customFormat="1" ht="17.399999999999999">
      <c r="A62" s="685">
        <v>2</v>
      </c>
      <c r="B62" s="686" t="s">
        <v>415</v>
      </c>
      <c r="C62" s="687" t="s">
        <v>226</v>
      </c>
      <c r="D62" s="688"/>
      <c r="E62" s="689">
        <v>15.75</v>
      </c>
      <c r="F62" s="690"/>
      <c r="G62" s="690"/>
      <c r="H62" s="690"/>
      <c r="I62" s="690"/>
      <c r="J62" s="690"/>
      <c r="K62" s="690"/>
      <c r="L62" s="690"/>
      <c r="M62" s="684"/>
      <c r="N62" s="684"/>
      <c r="O62" s="684"/>
      <c r="P62" s="684"/>
      <c r="Q62" s="684"/>
    </row>
    <row r="63" spans="1:23" s="7" customFormat="1" ht="17.399999999999999">
      <c r="A63" s="1104"/>
      <c r="B63" s="1105" t="s">
        <v>42</v>
      </c>
      <c r="C63" s="814" t="s">
        <v>139</v>
      </c>
      <c r="D63" s="1108">
        <v>1</v>
      </c>
      <c r="E63" s="827">
        <f>D63*E62</f>
        <v>15.75</v>
      </c>
      <c r="F63" s="1109"/>
      <c r="G63" s="1109"/>
      <c r="H63" s="1109">
        <v>18</v>
      </c>
      <c r="I63" s="1109">
        <f>H63*E63</f>
        <v>283.5</v>
      </c>
      <c r="J63" s="1109"/>
      <c r="K63" s="1109"/>
      <c r="L63" s="1109">
        <f>K63+I63+G63</f>
        <v>283.5</v>
      </c>
      <c r="M63" s="1096"/>
      <c r="N63" s="1096"/>
      <c r="O63" s="1096"/>
      <c r="P63" s="1096"/>
      <c r="Q63" s="1096"/>
    </row>
    <row r="64" spans="1:23" s="7" customFormat="1">
      <c r="A64" s="623"/>
      <c r="B64" s="576" t="s">
        <v>227</v>
      </c>
      <c r="C64" s="623" t="s">
        <v>65</v>
      </c>
      <c r="D64" s="594"/>
      <c r="E64" s="596">
        <v>75</v>
      </c>
      <c r="F64" s="596">
        <v>1.65</v>
      </c>
      <c r="G64" s="624">
        <f>F64*E64</f>
        <v>123.75</v>
      </c>
      <c r="H64" s="624"/>
      <c r="I64" s="624"/>
      <c r="J64" s="624"/>
      <c r="K64" s="624"/>
      <c r="L64" s="624">
        <f>K64+I64+G64</f>
        <v>123.75</v>
      </c>
      <c r="M64" s="625"/>
      <c r="N64" s="625"/>
      <c r="O64" s="625"/>
      <c r="P64" s="625"/>
      <c r="Q64" s="625"/>
    </row>
    <row r="65" spans="1:23" s="212" customFormat="1" ht="17.399999999999999" customHeight="1">
      <c r="A65" s="1107"/>
      <c r="B65" s="831" t="s">
        <v>126</v>
      </c>
      <c r="C65" s="822"/>
      <c r="D65" s="831"/>
      <c r="E65" s="822">
        <f>3/100*75</f>
        <v>2.25</v>
      </c>
      <c r="F65" s="827">
        <v>29.7</v>
      </c>
      <c r="G65" s="1106">
        <f>F65*E65</f>
        <v>66.825000000000003</v>
      </c>
      <c r="H65" s="1106"/>
      <c r="I65" s="1106"/>
      <c r="J65" s="1106"/>
      <c r="K65" s="1106"/>
      <c r="L65" s="1106">
        <f>K65+I65+G65</f>
        <v>66.825000000000003</v>
      </c>
      <c r="M65" s="210"/>
      <c r="N65" s="211"/>
      <c r="O65" s="211"/>
      <c r="P65" s="211"/>
    </row>
    <row r="66" spans="1:23" s="212" customFormat="1" ht="17.399999999999999" customHeight="1">
      <c r="A66" s="655"/>
      <c r="B66" s="656"/>
      <c r="C66" s="632"/>
      <c r="D66" s="656"/>
      <c r="E66" s="632"/>
      <c r="F66" s="610"/>
      <c r="G66" s="642"/>
      <c r="H66" s="642"/>
      <c r="I66" s="642"/>
      <c r="J66" s="642"/>
      <c r="K66" s="642"/>
      <c r="L66" s="642"/>
      <c r="M66" s="210"/>
      <c r="N66" s="211"/>
      <c r="O66" s="211"/>
      <c r="P66" s="211"/>
    </row>
    <row r="67" spans="1:23" s="50" customFormat="1">
      <c r="A67" s="609"/>
      <c r="B67" s="609" t="s">
        <v>21</v>
      </c>
      <c r="C67" s="609"/>
      <c r="D67" s="594"/>
      <c r="E67" s="629"/>
      <c r="F67" s="629"/>
      <c r="G67" s="652">
        <f>SUM(G60:G66)</f>
        <v>190.57499999999999</v>
      </c>
      <c r="H67" s="652"/>
      <c r="I67" s="652">
        <f>SUM(I60:I66)</f>
        <v>1042.875</v>
      </c>
      <c r="J67" s="652"/>
      <c r="K67" s="652">
        <f>SUM(K60:K66)</f>
        <v>0</v>
      </c>
      <c r="L67" s="652">
        <f>SUM(L60:L66)</f>
        <v>1233.45</v>
      </c>
      <c r="M67" s="213"/>
      <c r="N67" s="213"/>
      <c r="O67" s="213"/>
      <c r="P67" s="213"/>
    </row>
    <row r="68" spans="1:23" s="189" customFormat="1" ht="16.5" customHeight="1">
      <c r="A68" s="822"/>
      <c r="B68" s="832" t="s">
        <v>328</v>
      </c>
      <c r="C68" s="955">
        <v>0.05</v>
      </c>
      <c r="D68" s="823"/>
      <c r="E68" s="824"/>
      <c r="F68" s="824"/>
      <c r="G68" s="827"/>
      <c r="H68" s="824"/>
      <c r="I68" s="827"/>
      <c r="J68" s="826"/>
      <c r="K68" s="827"/>
      <c r="L68" s="827">
        <f>G67*C68</f>
        <v>9.5287500000000005</v>
      </c>
      <c r="M68" s="153"/>
      <c r="N68" s="128"/>
      <c r="T68" s="284"/>
    </row>
    <row r="69" spans="1:23" s="189" customFormat="1" ht="16.5" customHeight="1">
      <c r="A69" s="822"/>
      <c r="B69" s="129" t="s">
        <v>21</v>
      </c>
      <c r="C69" s="814"/>
      <c r="D69" s="823"/>
      <c r="E69" s="824"/>
      <c r="F69" s="824"/>
      <c r="G69" s="827"/>
      <c r="H69" s="824"/>
      <c r="I69" s="827"/>
      <c r="J69" s="826"/>
      <c r="K69" s="827"/>
      <c r="L69" s="956">
        <f>L67+L68</f>
        <v>1242.97875</v>
      </c>
      <c r="M69" s="153"/>
      <c r="N69" s="128"/>
      <c r="T69" s="284"/>
    </row>
    <row r="70" spans="1:23" s="51" customFormat="1">
      <c r="A70" s="609"/>
      <c r="B70" s="1006" t="s">
        <v>84</v>
      </c>
      <c r="C70" s="657">
        <v>0.1</v>
      </c>
      <c r="D70" s="594"/>
      <c r="E70" s="596"/>
      <c r="F70" s="596"/>
      <c r="G70" s="650"/>
      <c r="H70" s="650"/>
      <c r="I70" s="650"/>
      <c r="J70" s="650"/>
      <c r="K70" s="650"/>
      <c r="L70" s="650">
        <f>L67*C70</f>
        <v>123.34500000000001</v>
      </c>
      <c r="M70" s="1201"/>
      <c r="N70" s="1202"/>
      <c r="O70" s="1202"/>
      <c r="P70" s="1202"/>
    </row>
    <row r="71" spans="1:23" s="50" customFormat="1">
      <c r="A71" s="609"/>
      <c r="B71" s="1006" t="s">
        <v>21</v>
      </c>
      <c r="C71" s="658"/>
      <c r="D71" s="594"/>
      <c r="E71" s="629"/>
      <c r="F71" s="629"/>
      <c r="G71" s="652"/>
      <c r="H71" s="652"/>
      <c r="I71" s="652"/>
      <c r="J71" s="652"/>
      <c r="K71" s="652"/>
      <c r="L71" s="652">
        <f>SUM(L69:L70)</f>
        <v>1366.32375</v>
      </c>
      <c r="M71" s="213"/>
      <c r="N71" s="213"/>
      <c r="O71" s="213"/>
      <c r="P71" s="213"/>
    </row>
    <row r="72" spans="1:23" s="51" customFormat="1">
      <c r="A72" s="609"/>
      <c r="B72" s="638" t="s">
        <v>87</v>
      </c>
      <c r="C72" s="659">
        <v>0.08</v>
      </c>
      <c r="D72" s="594"/>
      <c r="E72" s="596"/>
      <c r="F72" s="596"/>
      <c r="G72" s="650"/>
      <c r="H72" s="650"/>
      <c r="I72" s="650"/>
      <c r="J72" s="650"/>
      <c r="K72" s="650"/>
      <c r="L72" s="650">
        <f>L71*C72</f>
        <v>109.30590000000001</v>
      </c>
      <c r="M72" s="1005"/>
      <c r="N72" s="1005"/>
      <c r="O72" s="1005"/>
      <c r="P72" s="1005"/>
    </row>
    <row r="73" spans="1:23" s="50" customFormat="1" ht="15.75" customHeight="1">
      <c r="A73" s="609"/>
      <c r="B73" s="1006" t="s">
        <v>21</v>
      </c>
      <c r="C73" s="609"/>
      <c r="D73" s="1006"/>
      <c r="E73" s="629"/>
      <c r="F73" s="629"/>
      <c r="G73" s="652"/>
      <c r="H73" s="652"/>
      <c r="I73" s="652"/>
      <c r="J73" s="652"/>
      <c r="K73" s="652"/>
      <c r="L73" s="652">
        <f>SUM(L71:L72)</f>
        <v>1475.6296500000001</v>
      </c>
      <c r="M73" s="213"/>
      <c r="N73" s="213"/>
      <c r="O73" s="213"/>
      <c r="P73" s="213"/>
    </row>
    <row r="74" spans="1:23" s="69" customFormat="1" ht="15.75" customHeight="1">
      <c r="A74" s="609"/>
      <c r="B74" s="609" t="s">
        <v>22</v>
      </c>
      <c r="C74" s="609"/>
      <c r="D74" s="609"/>
      <c r="E74" s="629"/>
      <c r="F74" s="629"/>
      <c r="G74" s="652"/>
      <c r="H74" s="652"/>
      <c r="I74" s="652"/>
      <c r="J74" s="652"/>
      <c r="K74" s="652"/>
      <c r="L74" s="652">
        <f>L73+L56</f>
        <v>8697.0867928474581</v>
      </c>
      <c r="M74" s="170"/>
      <c r="N74" s="170"/>
      <c r="O74" s="170"/>
      <c r="P74" s="170"/>
    </row>
    <row r="75" spans="1:23" s="300" customFormat="1" ht="15.75" customHeight="1">
      <c r="A75" s="660"/>
      <c r="B75" s="662" t="s">
        <v>95</v>
      </c>
      <c r="C75" s="661"/>
      <c r="D75" s="661"/>
      <c r="E75" s="661"/>
      <c r="F75" s="661"/>
      <c r="G75" s="661"/>
      <c r="H75" s="663"/>
      <c r="I75" s="661"/>
      <c r="J75" s="663"/>
      <c r="K75" s="661"/>
      <c r="L75" s="664">
        <f>L73</f>
        <v>1475.6296500000001</v>
      </c>
      <c r="M75" s="665"/>
      <c r="N75" s="666"/>
      <c r="O75" s="666"/>
      <c r="P75" s="666"/>
    </row>
    <row r="76" spans="1:23" s="300" customFormat="1" ht="15.75" customHeight="1">
      <c r="A76" s="660"/>
      <c r="B76" s="662" t="s">
        <v>18</v>
      </c>
      <c r="C76" s="661"/>
      <c r="D76" s="661"/>
      <c r="E76" s="661"/>
      <c r="F76" s="661"/>
      <c r="G76" s="661"/>
      <c r="H76" s="663"/>
      <c r="I76" s="661"/>
      <c r="J76" s="663"/>
      <c r="K76" s="661"/>
      <c r="L76" s="664">
        <f>L56</f>
        <v>7221.4571428474583</v>
      </c>
      <c r="M76" s="665"/>
      <c r="N76" s="666"/>
      <c r="O76" s="666"/>
      <c r="P76" s="666"/>
    </row>
    <row r="77" spans="1:23" s="40" customFormat="1" ht="15.75" customHeight="1">
      <c r="B77" s="266"/>
      <c r="C77" s="47"/>
      <c r="D77" s="222"/>
      <c r="E77" s="266"/>
      <c r="F77" s="222"/>
      <c r="G77" s="266"/>
      <c r="H77" s="223"/>
      <c r="I77" s="266"/>
      <c r="J77" s="223"/>
      <c r="K77" s="266"/>
      <c r="L77" s="266"/>
      <c r="M77" s="587"/>
      <c r="N77" s="128"/>
      <c r="O77" s="128"/>
      <c r="P77" s="128"/>
      <c r="Q77" s="189"/>
      <c r="R77" s="189"/>
      <c r="S77" s="189"/>
      <c r="T77" s="189"/>
      <c r="U77" s="189"/>
      <c r="V77" s="189"/>
      <c r="W77" s="189"/>
    </row>
    <row r="78" spans="1:23" s="40" customFormat="1" ht="15.75" customHeight="1">
      <c r="B78" s="266"/>
      <c r="C78" s="47"/>
      <c r="D78" s="222"/>
      <c r="E78" s="266"/>
      <c r="F78" s="222"/>
      <c r="G78" s="266"/>
      <c r="H78" s="223"/>
      <c r="I78" s="266"/>
      <c r="J78" s="223"/>
      <c r="K78" s="266"/>
      <c r="L78" s="266"/>
      <c r="M78" s="587"/>
      <c r="N78" s="128"/>
      <c r="O78" s="128"/>
      <c r="P78" s="128"/>
      <c r="Q78" s="189"/>
      <c r="R78" s="189"/>
      <c r="S78" s="189"/>
      <c r="T78" s="189"/>
      <c r="U78" s="189"/>
      <c r="V78" s="189"/>
      <c r="W78" s="189"/>
    </row>
    <row r="79" spans="1:23" s="40" customFormat="1" ht="15.75" customHeight="1">
      <c r="B79" s="266"/>
      <c r="C79" s="47"/>
      <c r="D79" s="222"/>
      <c r="E79" s="266"/>
      <c r="F79" s="222"/>
      <c r="G79" s="266"/>
      <c r="H79" s="223"/>
      <c r="I79" s="266"/>
      <c r="J79" s="223"/>
      <c r="K79" s="266"/>
      <c r="L79" s="266"/>
      <c r="M79" s="587"/>
      <c r="N79" s="128"/>
      <c r="O79" s="128"/>
      <c r="P79" s="128"/>
      <c r="Q79" s="189"/>
      <c r="R79" s="189"/>
      <c r="S79" s="189"/>
      <c r="T79" s="189"/>
      <c r="U79" s="189"/>
      <c r="V79" s="189"/>
      <c r="W79" s="189"/>
    </row>
    <row r="80" spans="1:23" s="40" customFormat="1" ht="15.75" customHeight="1">
      <c r="B80" s="60"/>
      <c r="C80" s="18"/>
      <c r="D80" s="41"/>
      <c r="E80" s="60"/>
      <c r="F80" s="41"/>
      <c r="G80" s="60"/>
      <c r="H80" s="224"/>
      <c r="I80" s="60"/>
      <c r="J80" s="224"/>
      <c r="K80" s="60"/>
      <c r="L80" s="60"/>
      <c r="M80" s="588"/>
      <c r="N80" s="128"/>
      <c r="O80" s="128"/>
      <c r="P80" s="128"/>
      <c r="Q80" s="189"/>
      <c r="R80" s="189"/>
      <c r="S80" s="189"/>
      <c r="T80" s="189"/>
      <c r="U80" s="189"/>
      <c r="V80" s="189"/>
      <c r="W80" s="189"/>
    </row>
    <row r="81" spans="1:23" s="40" customFormat="1" ht="15.75" customHeight="1">
      <c r="B81" s="60"/>
      <c r="C81" s="18"/>
      <c r="D81" s="41"/>
      <c r="E81" s="60"/>
      <c r="F81" s="41"/>
      <c r="G81" s="60"/>
      <c r="H81" s="224"/>
      <c r="I81" s="60"/>
      <c r="J81" s="224"/>
      <c r="K81" s="60"/>
      <c r="L81" s="60"/>
      <c r="M81" s="588"/>
      <c r="N81" s="128"/>
      <c r="O81" s="128"/>
      <c r="P81" s="128"/>
      <c r="Q81" s="189"/>
      <c r="R81" s="189"/>
      <c r="S81" s="189"/>
      <c r="T81" s="189"/>
      <c r="U81" s="189"/>
      <c r="V81" s="189"/>
      <c r="W81" s="189"/>
    </row>
    <row r="82" spans="1:23" s="40" customFormat="1" ht="15.75" customHeight="1">
      <c r="B82" s="60"/>
      <c r="C82" s="18"/>
      <c r="D82" s="41"/>
      <c r="E82" s="60"/>
      <c r="F82" s="41"/>
      <c r="G82" s="60"/>
      <c r="H82" s="224"/>
      <c r="I82" s="60"/>
      <c r="J82" s="224"/>
      <c r="K82" s="60"/>
      <c r="L82" s="60"/>
      <c r="M82" s="588"/>
      <c r="N82" s="128"/>
      <c r="O82" s="128"/>
      <c r="P82" s="128"/>
      <c r="Q82" s="189"/>
      <c r="R82" s="189"/>
      <c r="S82" s="189"/>
      <c r="T82" s="189"/>
      <c r="U82" s="189"/>
      <c r="V82" s="189"/>
      <c r="W82" s="189"/>
    </row>
    <row r="83" spans="1:23" s="40" customFormat="1" ht="15.75" customHeight="1">
      <c r="B83" s="60"/>
      <c r="C83" s="18"/>
      <c r="D83" s="41"/>
      <c r="E83" s="60"/>
      <c r="F83" s="41"/>
      <c r="G83" s="60"/>
      <c r="H83" s="224"/>
      <c r="I83" s="60"/>
      <c r="J83" s="224"/>
      <c r="K83" s="60"/>
      <c r="L83" s="60"/>
      <c r="M83" s="588"/>
      <c r="N83" s="128"/>
      <c r="O83" s="128"/>
      <c r="P83" s="128"/>
      <c r="Q83" s="189"/>
      <c r="R83" s="189"/>
      <c r="S83" s="189"/>
      <c r="T83" s="189"/>
      <c r="U83" s="189"/>
      <c r="V83" s="189"/>
      <c r="W83" s="189"/>
    </row>
    <row r="84" spans="1:23" s="40" customFormat="1" ht="15.75" customHeight="1">
      <c r="B84" s="60"/>
      <c r="C84" s="18"/>
      <c r="D84" s="41"/>
      <c r="E84" s="60"/>
      <c r="F84" s="41"/>
      <c r="G84" s="60"/>
      <c r="H84" s="224"/>
      <c r="I84" s="60"/>
      <c r="J84" s="224"/>
      <c r="K84" s="60"/>
      <c r="L84" s="60"/>
      <c r="M84" s="588"/>
      <c r="N84" s="128"/>
      <c r="O84" s="128"/>
      <c r="P84" s="128"/>
      <c r="Q84" s="189"/>
      <c r="R84" s="189"/>
      <c r="S84" s="189"/>
      <c r="T84" s="189"/>
      <c r="U84" s="189"/>
      <c r="V84" s="189"/>
      <c r="W84" s="189"/>
    </row>
    <row r="85" spans="1:23" s="40" customFormat="1" ht="15.75" customHeight="1">
      <c r="B85" s="60"/>
      <c r="C85" s="18"/>
      <c r="D85" s="41"/>
      <c r="E85" s="60"/>
      <c r="F85" s="41"/>
      <c r="G85" s="60"/>
      <c r="H85" s="224"/>
      <c r="I85" s="60"/>
      <c r="J85" s="224"/>
      <c r="K85" s="60"/>
      <c r="L85" s="60"/>
      <c r="M85" s="588"/>
      <c r="N85" s="128"/>
      <c r="O85" s="128"/>
      <c r="P85" s="128"/>
      <c r="Q85" s="189"/>
      <c r="R85" s="189"/>
      <c r="S85" s="189"/>
      <c r="T85" s="189"/>
      <c r="U85" s="189"/>
      <c r="V85" s="189"/>
      <c r="W85" s="189"/>
    </row>
    <row r="86" spans="1:23" s="40" customFormat="1" ht="15.75" customHeight="1">
      <c r="B86" s="60"/>
      <c r="C86" s="18"/>
      <c r="D86" s="41"/>
      <c r="E86" s="60"/>
      <c r="F86" s="41"/>
      <c r="G86" s="60"/>
      <c r="H86" s="224"/>
      <c r="I86" s="60"/>
      <c r="J86" s="224"/>
      <c r="K86" s="60"/>
      <c r="L86" s="60"/>
      <c r="M86" s="588"/>
      <c r="N86" s="128"/>
      <c r="O86" s="128"/>
      <c r="P86" s="128"/>
      <c r="Q86" s="189"/>
      <c r="R86" s="189"/>
      <c r="S86" s="189"/>
      <c r="T86" s="189"/>
      <c r="U86" s="189"/>
      <c r="V86" s="189"/>
      <c r="W86" s="189"/>
    </row>
    <row r="87" spans="1:23" s="40" customFormat="1" ht="15.75" customHeight="1">
      <c r="B87" s="60"/>
      <c r="C87" s="18"/>
      <c r="D87" s="41"/>
      <c r="E87" s="60"/>
      <c r="F87" s="41"/>
      <c r="G87" s="60"/>
      <c r="H87" s="224"/>
      <c r="I87" s="60"/>
      <c r="J87" s="224"/>
      <c r="K87" s="60"/>
      <c r="L87" s="60"/>
      <c r="M87" s="588"/>
      <c r="N87" s="128"/>
      <c r="O87" s="128"/>
      <c r="P87" s="128"/>
      <c r="Q87" s="189"/>
      <c r="R87" s="189"/>
      <c r="S87" s="189"/>
      <c r="T87" s="189"/>
      <c r="U87" s="189"/>
      <c r="V87" s="189"/>
      <c r="W87" s="189"/>
    </row>
    <row r="88" spans="1:23" s="40" customFormat="1" ht="15.75" customHeight="1">
      <c r="B88" s="60"/>
      <c r="C88" s="18"/>
      <c r="D88" s="41"/>
      <c r="E88" s="60"/>
      <c r="F88" s="41"/>
      <c r="G88" s="60"/>
      <c r="H88" s="224"/>
      <c r="I88" s="60"/>
      <c r="J88" s="224"/>
      <c r="K88" s="60"/>
      <c r="L88" s="60"/>
      <c r="M88" s="588"/>
      <c r="N88" s="128"/>
      <c r="O88" s="128"/>
      <c r="P88" s="128"/>
      <c r="Q88" s="189"/>
      <c r="R88" s="189"/>
      <c r="S88" s="189"/>
      <c r="T88" s="189"/>
      <c r="U88" s="189"/>
      <c r="V88" s="189"/>
      <c r="W88" s="189"/>
    </row>
    <row r="89" spans="1:23" s="40" customFormat="1" ht="15.75" customHeight="1">
      <c r="B89" s="60"/>
      <c r="C89" s="18"/>
      <c r="D89" s="41"/>
      <c r="E89" s="60"/>
      <c r="F89" s="41"/>
      <c r="G89" s="60"/>
      <c r="H89" s="224"/>
      <c r="I89" s="60"/>
      <c r="J89" s="224"/>
      <c r="K89" s="60"/>
      <c r="L89" s="60"/>
      <c r="M89" s="588"/>
      <c r="N89" s="128"/>
      <c r="O89" s="128"/>
      <c r="P89" s="128"/>
      <c r="Q89" s="189"/>
      <c r="R89" s="189"/>
      <c r="S89" s="189"/>
      <c r="T89" s="189"/>
      <c r="U89" s="189"/>
      <c r="V89" s="189"/>
      <c r="W89" s="189"/>
    </row>
    <row r="90" spans="1:23" s="189" customFormat="1" ht="15.75" customHeight="1">
      <c r="B90" s="60"/>
      <c r="C90" s="18"/>
      <c r="D90" s="41"/>
      <c r="E90" s="60"/>
      <c r="F90" s="41"/>
      <c r="G90" s="60"/>
      <c r="H90" s="224"/>
      <c r="I90" s="60"/>
      <c r="J90" s="224"/>
      <c r="K90" s="60"/>
      <c r="L90" s="60"/>
      <c r="M90" s="588"/>
      <c r="N90" s="128"/>
      <c r="O90" s="128"/>
      <c r="P90" s="128"/>
    </row>
    <row r="91" spans="1:23" s="189" customFormat="1" ht="15.75" customHeight="1">
      <c r="B91" s="60"/>
      <c r="C91" s="18"/>
      <c r="D91" s="41"/>
      <c r="E91" s="60"/>
      <c r="F91" s="41"/>
      <c r="G91" s="60"/>
      <c r="H91" s="224"/>
      <c r="I91" s="60"/>
      <c r="J91" s="224"/>
      <c r="K91" s="60"/>
      <c r="L91" s="60"/>
      <c r="M91" s="588"/>
      <c r="N91" s="128"/>
      <c r="O91" s="128"/>
      <c r="P91" s="128"/>
    </row>
    <row r="92" spans="1:23" s="189" customFormat="1" ht="15.75" customHeight="1">
      <c r="B92" s="60"/>
      <c r="C92" s="18"/>
      <c r="D92" s="41"/>
      <c r="E92" s="60"/>
      <c r="F92" s="41"/>
      <c r="G92" s="60"/>
      <c r="H92" s="224"/>
      <c r="I92" s="60"/>
      <c r="J92" s="224"/>
      <c r="K92" s="60"/>
      <c r="L92" s="60"/>
      <c r="M92" s="588"/>
      <c r="N92" s="128"/>
      <c r="O92" s="128"/>
      <c r="P92" s="128"/>
    </row>
    <row r="93" spans="1:23" s="189" customFormat="1" ht="15.75" customHeight="1">
      <c r="B93" s="60"/>
      <c r="C93" s="18"/>
      <c r="D93" s="41"/>
      <c r="E93" s="60"/>
      <c r="F93" s="41"/>
      <c r="G93" s="60"/>
      <c r="H93" s="224"/>
      <c r="I93" s="60"/>
      <c r="J93" s="224"/>
      <c r="K93" s="60"/>
      <c r="L93" s="60"/>
      <c r="M93" s="588"/>
      <c r="N93" s="128"/>
      <c r="O93" s="128"/>
      <c r="P93" s="128"/>
    </row>
    <row r="94" spans="1:23" s="189" customFormat="1" ht="15.75" customHeight="1">
      <c r="B94" s="60"/>
      <c r="C94" s="18"/>
      <c r="D94" s="41"/>
      <c r="E94" s="60"/>
      <c r="F94" s="41"/>
      <c r="G94" s="60"/>
      <c r="H94" s="224"/>
      <c r="I94" s="60"/>
      <c r="J94" s="224"/>
      <c r="K94" s="60"/>
      <c r="L94" s="60"/>
      <c r="M94" s="588"/>
      <c r="N94" s="128"/>
      <c r="O94" s="128"/>
      <c r="P94" s="128"/>
    </row>
    <row r="95" spans="1:23" ht="15.75" customHeight="1">
      <c r="A95" s="11"/>
    </row>
    <row r="96" spans="1:23" ht="15.75" customHeight="1">
      <c r="A96" s="11"/>
    </row>
  </sheetData>
  <autoFilter ref="A8:L88"/>
  <mergeCells count="20">
    <mergeCell ref="A2:L2"/>
    <mergeCell ref="A4:L4"/>
    <mergeCell ref="A6:A7"/>
    <mergeCell ref="B6:B7"/>
    <mergeCell ref="C6:C7"/>
    <mergeCell ref="D6:E6"/>
    <mergeCell ref="F6:G6"/>
    <mergeCell ref="H6:I6"/>
    <mergeCell ref="J6:K6"/>
    <mergeCell ref="L6:L7"/>
    <mergeCell ref="M70:P70"/>
    <mergeCell ref="M39:P39"/>
    <mergeCell ref="M60:Q60"/>
    <mergeCell ref="M9:P9"/>
    <mergeCell ref="M10:P10"/>
    <mergeCell ref="M15:P15"/>
    <mergeCell ref="M18:P18"/>
    <mergeCell ref="M24:P24"/>
    <mergeCell ref="M30:P30"/>
    <mergeCell ref="M36:P36"/>
  </mergeCells>
  <pageMargins left="0.2" right="0.2" top="0.2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Y472"/>
  <sheetViews>
    <sheetView zoomScaleNormal="100" zoomScaleSheetLayoutView="100" workbookViewId="0">
      <selection activeCell="A2" sqref="A2:L2"/>
    </sheetView>
  </sheetViews>
  <sheetFormatPr defaultColWidth="9.109375" defaultRowHeight="15"/>
  <cols>
    <col min="1" max="1" width="3.88671875" style="40" customWidth="1"/>
    <col min="2" max="2" width="43" style="42" customWidth="1"/>
    <col min="3" max="3" width="9.6640625" style="18" customWidth="1"/>
    <col min="4" max="4" width="7.33203125" style="60" customWidth="1"/>
    <col min="5" max="5" width="9" style="60" customWidth="1"/>
    <col min="6" max="6" width="8.6640625" style="60" customWidth="1"/>
    <col min="7" max="7" width="8.44140625" style="60" customWidth="1"/>
    <col min="8" max="8" width="8" style="279" customWidth="1"/>
    <col min="9" max="9" width="9" style="60" customWidth="1"/>
    <col min="10" max="10" width="8.109375" style="224" customWidth="1"/>
    <col min="11" max="11" width="8.33203125" style="60" customWidth="1"/>
    <col min="12" max="12" width="11.33203125" style="60" customWidth="1"/>
    <col min="13" max="25" width="9.109375" style="367"/>
    <col min="26" max="16384" width="9.109375" style="1"/>
  </cols>
  <sheetData>
    <row r="1" spans="1:12">
      <c r="A1" s="61"/>
      <c r="B1" s="62"/>
      <c r="C1" s="62"/>
      <c r="D1" s="62"/>
      <c r="E1" s="62"/>
      <c r="F1" s="62"/>
      <c r="G1" s="62"/>
      <c r="H1" s="268"/>
      <c r="I1" s="62"/>
      <c r="J1" s="66"/>
      <c r="K1" s="62"/>
      <c r="L1" s="62"/>
    </row>
    <row r="2" spans="1:12" ht="16.5" customHeight="1">
      <c r="A2" s="1196" t="s">
        <v>441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</row>
    <row r="3" spans="1:12" ht="19.8">
      <c r="A3" s="63"/>
      <c r="B3" s="64"/>
      <c r="C3" s="65"/>
      <c r="D3" s="65"/>
      <c r="E3" s="65"/>
      <c r="F3" s="65"/>
      <c r="G3" s="65"/>
      <c r="H3" s="269"/>
      <c r="I3" s="65"/>
      <c r="J3" s="67"/>
      <c r="K3" s="65"/>
      <c r="L3" s="65"/>
    </row>
    <row r="4" spans="1:12" ht="17.399999999999999">
      <c r="A4" s="1196" t="s">
        <v>249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</row>
    <row r="5" spans="1:12" ht="19.8">
      <c r="A5" s="63"/>
      <c r="B5" s="64"/>
      <c r="C5" s="65"/>
      <c r="D5" s="65"/>
      <c r="E5" s="65"/>
      <c r="F5" s="65"/>
      <c r="G5" s="65"/>
      <c r="H5" s="269"/>
      <c r="I5" s="65"/>
      <c r="J5" s="67"/>
      <c r="K5" s="65"/>
      <c r="L5" s="65"/>
    </row>
    <row r="6" spans="1:12" ht="27" customHeight="1">
      <c r="A6" s="1182" t="s">
        <v>13</v>
      </c>
      <c r="B6" s="1182" t="s">
        <v>27</v>
      </c>
      <c r="C6" s="1182" t="s">
        <v>32</v>
      </c>
      <c r="D6" s="1197" t="s">
        <v>33</v>
      </c>
      <c r="E6" s="1198"/>
      <c r="F6" s="1182" t="s">
        <v>34</v>
      </c>
      <c r="G6" s="1182"/>
      <c r="H6" s="1182" t="s">
        <v>35</v>
      </c>
      <c r="I6" s="1182"/>
      <c r="J6" s="1182" t="s">
        <v>36</v>
      </c>
      <c r="K6" s="1182"/>
      <c r="L6" s="1194" t="s">
        <v>37</v>
      </c>
    </row>
    <row r="7" spans="1:12" ht="30">
      <c r="A7" s="1182"/>
      <c r="B7" s="1182"/>
      <c r="C7" s="1182"/>
      <c r="D7" s="70" t="s">
        <v>38</v>
      </c>
      <c r="E7" s="611" t="s">
        <v>22</v>
      </c>
      <c r="F7" s="70" t="s">
        <v>39</v>
      </c>
      <c r="G7" s="611" t="s">
        <v>40</v>
      </c>
      <c r="H7" s="612" t="s">
        <v>39</v>
      </c>
      <c r="I7" s="611" t="s">
        <v>40</v>
      </c>
      <c r="J7" s="70" t="s">
        <v>39</v>
      </c>
      <c r="K7" s="611" t="s">
        <v>40</v>
      </c>
      <c r="L7" s="1195"/>
    </row>
    <row r="8" spans="1:12" s="254" customFormat="1" ht="21" customHeight="1">
      <c r="A8" s="115">
        <v>1</v>
      </c>
      <c r="B8" s="115">
        <v>2</v>
      </c>
      <c r="C8" s="116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281">
        <v>10</v>
      </c>
      <c r="K8" s="117">
        <v>11</v>
      </c>
      <c r="L8" s="117">
        <v>12</v>
      </c>
    </row>
    <row r="9" spans="1:12" ht="14.4">
      <c r="A9" s="733"/>
      <c r="B9" s="761" t="s">
        <v>251</v>
      </c>
      <c r="C9" s="734"/>
      <c r="D9" s="733"/>
      <c r="E9" s="733"/>
      <c r="F9" s="733"/>
      <c r="G9" s="735"/>
      <c r="H9" s="736"/>
      <c r="I9" s="735"/>
      <c r="J9" s="733"/>
      <c r="K9" s="733"/>
      <c r="L9" s="733"/>
    </row>
    <row r="10" spans="1:12" s="740" customFormat="1" ht="17.399999999999999">
      <c r="A10" s="737">
        <v>1</v>
      </c>
      <c r="B10" s="762" t="s">
        <v>252</v>
      </c>
      <c r="C10" s="738" t="s">
        <v>96</v>
      </c>
      <c r="D10" s="738"/>
      <c r="E10" s="738">
        <v>1</v>
      </c>
      <c r="F10" s="739"/>
      <c r="G10" s="739"/>
      <c r="H10" s="739"/>
      <c r="I10" s="739"/>
      <c r="J10" s="739"/>
      <c r="K10" s="739"/>
      <c r="L10" s="739"/>
    </row>
    <row r="11" spans="1:12" s="747" customFormat="1" ht="17.399999999999999">
      <c r="A11" s="1044"/>
      <c r="B11" s="1045" t="s">
        <v>42</v>
      </c>
      <c r="C11" s="1046" t="s">
        <v>96</v>
      </c>
      <c r="D11" s="1047">
        <v>1</v>
      </c>
      <c r="E11" s="1047">
        <f>E10*D11</f>
        <v>1</v>
      </c>
      <c r="F11" s="1043"/>
      <c r="G11" s="1043"/>
      <c r="H11" s="1043">
        <v>250</v>
      </c>
      <c r="I11" s="1043">
        <f>H11*E11</f>
        <v>250</v>
      </c>
      <c r="J11" s="1043"/>
      <c r="K11" s="1043"/>
      <c r="L11" s="1043">
        <f>I11</f>
        <v>250</v>
      </c>
    </row>
    <row r="12" spans="1:12" s="747" customFormat="1" ht="16.2">
      <c r="A12" s="748"/>
      <c r="B12" s="749" t="s">
        <v>49</v>
      </c>
      <c r="C12" s="750" t="s">
        <v>2</v>
      </c>
      <c r="D12" s="742">
        <v>4.8600000000000003</v>
      </c>
      <c r="E12" s="742">
        <f>D12*E10</f>
        <v>4.8600000000000003</v>
      </c>
      <c r="F12" s="751"/>
      <c r="G12" s="751"/>
      <c r="H12" s="751"/>
      <c r="I12" s="751"/>
      <c r="J12" s="751">
        <v>4</v>
      </c>
      <c r="K12" s="751">
        <f>J12*E12</f>
        <v>19.440000000000001</v>
      </c>
      <c r="L12" s="752">
        <f t="shared" ref="L12:L17" si="0">K12+I12+G12</f>
        <v>19.440000000000001</v>
      </c>
    </row>
    <row r="13" spans="1:12" s="747" customFormat="1" ht="28.8">
      <c r="A13" s="741"/>
      <c r="B13" s="753" t="s">
        <v>253</v>
      </c>
      <c r="C13" s="744" t="s">
        <v>96</v>
      </c>
      <c r="D13" s="745">
        <v>1</v>
      </c>
      <c r="E13" s="745">
        <f>D13*E10</f>
        <v>1</v>
      </c>
      <c r="F13" s="1043">
        <f>1937/1.18</f>
        <v>1641.5254237288136</v>
      </c>
      <c r="G13" s="751">
        <f>F13*E13</f>
        <v>1641.5254237288136</v>
      </c>
      <c r="H13" s="751"/>
      <c r="I13" s="751"/>
      <c r="J13" s="751"/>
      <c r="K13" s="751"/>
      <c r="L13" s="707">
        <f t="shared" si="0"/>
        <v>1641.5254237288136</v>
      </c>
    </row>
    <row r="14" spans="1:12" s="747" customFormat="1" ht="25.5" customHeight="1">
      <c r="A14" s="754"/>
      <c r="B14" s="755" t="s">
        <v>254</v>
      </c>
      <c r="C14" s="756" t="s">
        <v>65</v>
      </c>
      <c r="D14" s="756"/>
      <c r="E14" s="756">
        <v>4</v>
      </c>
      <c r="F14" s="1062">
        <v>8.64</v>
      </c>
      <c r="G14" s="751">
        <f>F14*E14</f>
        <v>34.56</v>
      </c>
      <c r="H14" s="751"/>
      <c r="I14" s="751"/>
      <c r="J14" s="751"/>
      <c r="K14" s="751"/>
      <c r="L14" s="707">
        <f t="shared" si="0"/>
        <v>34.56</v>
      </c>
    </row>
    <row r="15" spans="1:12" s="747" customFormat="1" ht="25.5" customHeight="1">
      <c r="A15" s="754"/>
      <c r="B15" s="755" t="s">
        <v>255</v>
      </c>
      <c r="C15" s="756" t="s">
        <v>65</v>
      </c>
      <c r="D15" s="756"/>
      <c r="E15" s="756">
        <v>4</v>
      </c>
      <c r="F15" s="1062">
        <v>20.3</v>
      </c>
      <c r="G15" s="751">
        <f>F15*E15</f>
        <v>81.2</v>
      </c>
      <c r="H15" s="751"/>
      <c r="I15" s="751"/>
      <c r="J15" s="751"/>
      <c r="K15" s="751"/>
      <c r="L15" s="707">
        <f t="shared" si="0"/>
        <v>81.2</v>
      </c>
    </row>
    <row r="16" spans="1:12" s="747" customFormat="1" ht="28.8">
      <c r="A16" s="757"/>
      <c r="B16" s="758" t="s">
        <v>250</v>
      </c>
      <c r="C16" s="759" t="s">
        <v>96</v>
      </c>
      <c r="D16" s="759">
        <v>1</v>
      </c>
      <c r="E16" s="759">
        <f>D16*E10</f>
        <v>1</v>
      </c>
      <c r="F16" s="1003">
        <f>42/1.18</f>
        <v>35.593220338983052</v>
      </c>
      <c r="G16" s="760">
        <f>F16*E16</f>
        <v>35.593220338983052</v>
      </c>
      <c r="H16" s="760"/>
      <c r="I16" s="760"/>
      <c r="J16" s="760"/>
      <c r="K16" s="760"/>
      <c r="L16" s="752">
        <f t="shared" si="0"/>
        <v>35.593220338983052</v>
      </c>
    </row>
    <row r="17" spans="1:12" s="747" customFormat="1" ht="16.2">
      <c r="A17" s="748"/>
      <c r="B17" s="749" t="s">
        <v>51</v>
      </c>
      <c r="C17" s="750" t="s">
        <v>2</v>
      </c>
      <c r="D17" s="742">
        <v>4.0599999999999996</v>
      </c>
      <c r="E17" s="742">
        <f>D17*E10</f>
        <v>4.0599999999999996</v>
      </c>
      <c r="F17" s="751">
        <v>4</v>
      </c>
      <c r="G17" s="751">
        <f>F17*E17</f>
        <v>16.239999999999998</v>
      </c>
      <c r="H17" s="751"/>
      <c r="I17" s="751"/>
      <c r="J17" s="751"/>
      <c r="K17" s="751"/>
      <c r="L17" s="752">
        <f t="shared" si="0"/>
        <v>16.239999999999998</v>
      </c>
    </row>
    <row r="18" spans="1:12" ht="43.8">
      <c r="A18" s="539">
        <v>2</v>
      </c>
      <c r="B18" s="332" t="s">
        <v>256</v>
      </c>
      <c r="C18" s="738" t="s">
        <v>96</v>
      </c>
      <c r="D18" s="708"/>
      <c r="E18" s="729">
        <v>1</v>
      </c>
      <c r="F18" s="724"/>
      <c r="G18" s="725"/>
      <c r="H18" s="726"/>
      <c r="I18" s="727"/>
      <c r="J18" s="727"/>
      <c r="K18" s="727"/>
      <c r="L18" s="725"/>
    </row>
    <row r="19" spans="1:12" s="747" customFormat="1" ht="17.399999999999999">
      <c r="A19" s="741"/>
      <c r="B19" s="743" t="s">
        <v>42</v>
      </c>
      <c r="C19" s="744" t="s">
        <v>43</v>
      </c>
      <c r="D19" s="745">
        <v>6.09</v>
      </c>
      <c r="E19" s="745">
        <f>E18*D19</f>
        <v>6.09</v>
      </c>
      <c r="F19" s="746"/>
      <c r="G19" s="746"/>
      <c r="H19" s="746">
        <v>6</v>
      </c>
      <c r="I19" s="746">
        <f>H19*E19</f>
        <v>36.54</v>
      </c>
      <c r="J19" s="746"/>
      <c r="K19" s="746"/>
      <c r="L19" s="746">
        <f>I19</f>
        <v>36.54</v>
      </c>
    </row>
    <row r="20" spans="1:12" s="747" customFormat="1" ht="16.2">
      <c r="A20" s="748"/>
      <c r="B20" s="749" t="s">
        <v>49</v>
      </c>
      <c r="C20" s="750" t="s">
        <v>2</v>
      </c>
      <c r="D20" s="742">
        <v>0.21</v>
      </c>
      <c r="E20" s="742">
        <f>D20*E18</f>
        <v>0.21</v>
      </c>
      <c r="F20" s="751"/>
      <c r="G20" s="751"/>
      <c r="H20" s="751"/>
      <c r="I20" s="751"/>
      <c r="J20" s="751">
        <v>4</v>
      </c>
      <c r="K20" s="751">
        <f>J20*E20</f>
        <v>0.84</v>
      </c>
      <c r="L20" s="752">
        <f>K20+I20+G20</f>
        <v>0.84</v>
      </c>
    </row>
    <row r="21" spans="1:12" ht="30.6">
      <c r="A21" s="704"/>
      <c r="B21" s="231" t="s">
        <v>257</v>
      </c>
      <c r="C21" s="756" t="s">
        <v>96</v>
      </c>
      <c r="D21" s="713"/>
      <c r="E21" s="1001">
        <v>1</v>
      </c>
      <c r="F21" s="892">
        <f>249/1.18</f>
        <v>211.0169491525424</v>
      </c>
      <c r="G21" s="751">
        <f>F21*E21</f>
        <v>211.0169491525424</v>
      </c>
      <c r="H21" s="751"/>
      <c r="I21" s="751"/>
      <c r="J21" s="751"/>
      <c r="K21" s="751"/>
      <c r="L21" s="752">
        <f>K21+I21+G21</f>
        <v>211.0169491525424</v>
      </c>
    </row>
    <row r="22" spans="1:12" s="747" customFormat="1" ht="16.2">
      <c r="A22" s="748"/>
      <c r="B22" s="749" t="s">
        <v>51</v>
      </c>
      <c r="C22" s="750" t="s">
        <v>2</v>
      </c>
      <c r="D22" s="742">
        <v>0.31</v>
      </c>
      <c r="E22" s="742">
        <f>D22*E18</f>
        <v>0.31</v>
      </c>
      <c r="F22" s="751">
        <v>4</v>
      </c>
      <c r="G22" s="751">
        <f>F22*E22</f>
        <v>1.24</v>
      </c>
      <c r="H22" s="751"/>
      <c r="I22" s="751"/>
      <c r="J22" s="751"/>
      <c r="K22" s="751"/>
      <c r="L22" s="752">
        <f>K22+I22+G22</f>
        <v>1.24</v>
      </c>
    </row>
    <row r="23" spans="1:12" ht="30">
      <c r="A23" s="704">
        <v>3</v>
      </c>
      <c r="B23" s="332" t="s">
        <v>258</v>
      </c>
      <c r="C23" s="738" t="s">
        <v>96</v>
      </c>
      <c r="D23" s="708"/>
      <c r="E23" s="729">
        <v>1</v>
      </c>
      <c r="F23" s="724"/>
      <c r="G23" s="725"/>
      <c r="H23" s="726"/>
      <c r="I23" s="727"/>
      <c r="J23" s="727"/>
      <c r="K23" s="727"/>
      <c r="L23" s="725"/>
    </row>
    <row r="24" spans="1:12" s="747" customFormat="1" ht="17.399999999999999">
      <c r="A24" s="741"/>
      <c r="B24" s="743" t="s">
        <v>42</v>
      </c>
      <c r="C24" s="744" t="s">
        <v>43</v>
      </c>
      <c r="D24" s="745">
        <v>3.8</v>
      </c>
      <c r="E24" s="745">
        <f>E23*D24</f>
        <v>3.8</v>
      </c>
      <c r="F24" s="746"/>
      <c r="G24" s="746"/>
      <c r="H24" s="746">
        <v>6</v>
      </c>
      <c r="I24" s="746">
        <f>H24*E24</f>
        <v>22.799999999999997</v>
      </c>
      <c r="J24" s="746"/>
      <c r="K24" s="746"/>
      <c r="L24" s="746">
        <f>I24</f>
        <v>22.799999999999997</v>
      </c>
    </row>
    <row r="25" spans="1:12" s="747" customFormat="1" ht="16.2">
      <c r="A25" s="748"/>
      <c r="B25" s="749" t="s">
        <v>49</v>
      </c>
      <c r="C25" s="750" t="s">
        <v>2</v>
      </c>
      <c r="D25" s="742">
        <v>0.08</v>
      </c>
      <c r="E25" s="742">
        <f>D25*E23</f>
        <v>0.08</v>
      </c>
      <c r="F25" s="751"/>
      <c r="G25" s="751"/>
      <c r="H25" s="751"/>
      <c r="I25" s="751"/>
      <c r="J25" s="751">
        <v>4</v>
      </c>
      <c r="K25" s="751">
        <f>J25*E25</f>
        <v>0.32</v>
      </c>
      <c r="L25" s="752">
        <f>K25+I25+G25</f>
        <v>0.32</v>
      </c>
    </row>
    <row r="26" spans="1:12" s="367" customFormat="1" ht="30">
      <c r="A26" s="613"/>
      <c r="B26" s="231" t="s">
        <v>259</v>
      </c>
      <c r="C26" s="756" t="s">
        <v>96</v>
      </c>
      <c r="D26" s="713"/>
      <c r="E26" s="1001">
        <v>1</v>
      </c>
      <c r="F26" s="1002">
        <f>2350*0.044/1.18</f>
        <v>87.627118644067792</v>
      </c>
      <c r="G26" s="751">
        <f>F26*E26</f>
        <v>87.627118644067792</v>
      </c>
      <c r="H26" s="751"/>
      <c r="I26" s="751"/>
      <c r="J26" s="751"/>
      <c r="K26" s="751"/>
      <c r="L26" s="752">
        <f>K26+I26+G26</f>
        <v>87.627118644067792</v>
      </c>
    </row>
    <row r="27" spans="1:12" s="747" customFormat="1" ht="16.2">
      <c r="A27" s="748"/>
      <c r="B27" s="749" t="s">
        <v>51</v>
      </c>
      <c r="C27" s="750" t="s">
        <v>2</v>
      </c>
      <c r="D27" s="742">
        <v>0.66</v>
      </c>
      <c r="E27" s="742">
        <f>D27*E23</f>
        <v>0.66</v>
      </c>
      <c r="F27" s="751">
        <v>4</v>
      </c>
      <c r="G27" s="751">
        <f>F27*E27</f>
        <v>2.64</v>
      </c>
      <c r="H27" s="751"/>
      <c r="I27" s="751"/>
      <c r="J27" s="751"/>
      <c r="K27" s="751"/>
      <c r="L27" s="752">
        <f>K27+I27+G27</f>
        <v>2.64</v>
      </c>
    </row>
    <row r="28" spans="1:12" s="396" customFormat="1" ht="29.4">
      <c r="A28" s="763">
        <v>4</v>
      </c>
      <c r="B28" s="764" t="s">
        <v>265</v>
      </c>
      <c r="C28" s="765" t="s">
        <v>123</v>
      </c>
      <c r="D28" s="766"/>
      <c r="E28" s="767">
        <f>2*3.14*0.075*4</f>
        <v>1.8839999999999999</v>
      </c>
      <c r="F28" s="768"/>
      <c r="G28" s="769"/>
      <c r="H28" s="768"/>
      <c r="I28" s="769"/>
      <c r="J28" s="768"/>
      <c r="K28" s="769"/>
      <c r="L28" s="768"/>
    </row>
    <row r="29" spans="1:12" s="409" customFormat="1">
      <c r="A29" s="723"/>
      <c r="B29" s="710" t="s">
        <v>42</v>
      </c>
      <c r="C29" s="711" t="s">
        <v>43</v>
      </c>
      <c r="D29" s="770">
        <f>1.54</f>
        <v>1.54</v>
      </c>
      <c r="E29" s="707">
        <f>D29*E28</f>
        <v>2.9013599999999999</v>
      </c>
      <c r="F29" s="707"/>
      <c r="G29" s="771"/>
      <c r="H29" s="707">
        <v>6</v>
      </c>
      <c r="I29" s="771">
        <f>H29*E29</f>
        <v>17.408159999999999</v>
      </c>
      <c r="J29" s="707"/>
      <c r="K29" s="771"/>
      <c r="L29" s="771">
        <f t="shared" ref="L29:L33" si="1">K29+I29+G29</f>
        <v>17.408159999999999</v>
      </c>
    </row>
    <row r="30" spans="1:12" s="409" customFormat="1">
      <c r="A30" s="723"/>
      <c r="B30" s="772" t="s">
        <v>49</v>
      </c>
      <c r="C30" s="772" t="s">
        <v>2</v>
      </c>
      <c r="D30" s="770">
        <v>3.73E-2</v>
      </c>
      <c r="E30" s="707">
        <f>D30*E28</f>
        <v>7.0273199999999994E-2</v>
      </c>
      <c r="F30" s="707"/>
      <c r="G30" s="771"/>
      <c r="H30" s="707"/>
      <c r="I30" s="771"/>
      <c r="J30" s="707">
        <v>4</v>
      </c>
      <c r="K30" s="771">
        <f>E30*J30</f>
        <v>0.28109279999999998</v>
      </c>
      <c r="L30" s="771">
        <f t="shared" si="1"/>
        <v>0.28109279999999998</v>
      </c>
    </row>
    <row r="31" spans="1:12" s="409" customFormat="1" ht="30">
      <c r="A31" s="773"/>
      <c r="B31" s="774" t="s">
        <v>260</v>
      </c>
      <c r="C31" s="775" t="s">
        <v>123</v>
      </c>
      <c r="D31" s="776"/>
      <c r="E31" s="999">
        <f>E28</f>
        <v>1.8839999999999999</v>
      </c>
      <c r="F31" s="540">
        <f>(28.7+35.7)/2</f>
        <v>32.200000000000003</v>
      </c>
      <c r="G31" s="771">
        <f t="shared" ref="G31:G33" si="2">F31*E31</f>
        <v>60.6648</v>
      </c>
      <c r="H31" s="777"/>
      <c r="I31" s="778"/>
      <c r="J31" s="777"/>
      <c r="K31" s="778"/>
      <c r="L31" s="707">
        <f t="shared" si="1"/>
        <v>60.6648</v>
      </c>
    </row>
    <row r="32" spans="1:12" s="409" customFormat="1" ht="16.2">
      <c r="A32" s="773"/>
      <c r="B32" s="784" t="s">
        <v>124</v>
      </c>
      <c r="C32" s="775" t="s">
        <v>57</v>
      </c>
      <c r="D32" s="776">
        <v>0.65</v>
      </c>
      <c r="E32" s="1000">
        <f>D32*E28</f>
        <v>1.2245999999999999</v>
      </c>
      <c r="F32" s="540">
        <v>3</v>
      </c>
      <c r="G32" s="771">
        <f t="shared" si="2"/>
        <v>3.6738</v>
      </c>
      <c r="H32" s="777"/>
      <c r="I32" s="778"/>
      <c r="J32" s="777"/>
      <c r="K32" s="778"/>
      <c r="L32" s="707">
        <f t="shared" si="1"/>
        <v>3.6738</v>
      </c>
    </row>
    <row r="33" spans="1:25" s="409" customFormat="1">
      <c r="A33" s="785"/>
      <c r="B33" s="772" t="s">
        <v>51</v>
      </c>
      <c r="C33" s="772" t="s">
        <v>2</v>
      </c>
      <c r="D33" s="786">
        <v>0.16900000000000001</v>
      </c>
      <c r="E33" s="787">
        <f>E28*D33</f>
        <v>0.31839600000000001</v>
      </c>
      <c r="F33" s="783">
        <v>4</v>
      </c>
      <c r="G33" s="779">
        <f t="shared" si="2"/>
        <v>1.273584</v>
      </c>
      <c r="H33" s="780"/>
      <c r="I33" s="780"/>
      <c r="J33" s="781"/>
      <c r="K33" s="782"/>
      <c r="L33" s="783">
        <f t="shared" si="1"/>
        <v>1.273584</v>
      </c>
    </row>
    <row r="34" spans="1:25" s="793" customFormat="1">
      <c r="A34" s="763">
        <v>5</v>
      </c>
      <c r="B34" s="788" t="s">
        <v>267</v>
      </c>
      <c r="C34" s="789" t="s">
        <v>61</v>
      </c>
      <c r="D34" s="790"/>
      <c r="E34" s="791">
        <v>1</v>
      </c>
      <c r="F34" s="767"/>
      <c r="G34" s="792"/>
      <c r="H34" s="763"/>
      <c r="I34" s="763"/>
      <c r="J34" s="763"/>
      <c r="K34" s="767"/>
      <c r="L34" s="767"/>
    </row>
    <row r="35" spans="1:25" s="51" customFormat="1" ht="20.100000000000001" customHeight="1">
      <c r="A35" s="723"/>
      <c r="B35" s="794" t="s">
        <v>42</v>
      </c>
      <c r="C35" s="711" t="s">
        <v>43</v>
      </c>
      <c r="D35" s="770">
        <v>1.34</v>
      </c>
      <c r="E35" s="707">
        <f>D35*E34</f>
        <v>1.34</v>
      </c>
      <c r="F35" s="707"/>
      <c r="G35" s="771"/>
      <c r="H35" s="707">
        <v>6</v>
      </c>
      <c r="I35" s="771">
        <f>H35*E35</f>
        <v>8.0400000000000009</v>
      </c>
      <c r="J35" s="707"/>
      <c r="K35" s="771"/>
      <c r="L35" s="771">
        <f t="shared" ref="L35:L36" si="3">K35+I35+G35</f>
        <v>8.0400000000000009</v>
      </c>
    </row>
    <row r="36" spans="1:25" s="51" customFormat="1" ht="20.100000000000001" customHeight="1">
      <c r="A36" s="723"/>
      <c r="B36" s="795" t="s">
        <v>49</v>
      </c>
      <c r="C36" s="770" t="s">
        <v>2</v>
      </c>
      <c r="D36" s="770">
        <v>0.05</v>
      </c>
      <c r="E36" s="707">
        <f>D36*E34</f>
        <v>0.05</v>
      </c>
      <c r="F36" s="707"/>
      <c r="G36" s="771"/>
      <c r="H36" s="707"/>
      <c r="I36" s="771"/>
      <c r="J36" s="707">
        <v>4</v>
      </c>
      <c r="K36" s="771">
        <f>E36*J36</f>
        <v>0.2</v>
      </c>
      <c r="L36" s="771">
        <f t="shared" si="3"/>
        <v>0.2</v>
      </c>
    </row>
    <row r="37" spans="1:25" s="51" customFormat="1" ht="28.2" customHeight="1">
      <c r="A37" s="251"/>
      <c r="B37" s="796" t="s">
        <v>266</v>
      </c>
      <c r="C37" s="797" t="s">
        <v>93</v>
      </c>
      <c r="D37" s="770"/>
      <c r="E37" s="998">
        <v>1</v>
      </c>
      <c r="F37" s="707">
        <f>6.2*1.2726/1.18</f>
        <v>6.6865423728813562</v>
      </c>
      <c r="G37" s="779">
        <f>F37*E37</f>
        <v>6.6865423728813562</v>
      </c>
      <c r="H37" s="780"/>
      <c r="I37" s="780"/>
      <c r="J37" s="781"/>
      <c r="K37" s="782"/>
      <c r="L37" s="783">
        <f>K37+I37+G37</f>
        <v>6.6865423728813562</v>
      </c>
    </row>
    <row r="38" spans="1:25" s="301" customFormat="1" ht="20.100000000000001" customHeight="1">
      <c r="A38" s="785"/>
      <c r="B38" s="795" t="s">
        <v>51</v>
      </c>
      <c r="C38" s="770" t="s">
        <v>2</v>
      </c>
      <c r="D38" s="786">
        <v>0.16</v>
      </c>
      <c r="E38" s="787">
        <f>D38*E34</f>
        <v>0.16</v>
      </c>
      <c r="F38" s="783">
        <v>4</v>
      </c>
      <c r="G38" s="779">
        <f>F38*E38</f>
        <v>0.64</v>
      </c>
      <c r="H38" s="780"/>
      <c r="I38" s="780"/>
      <c r="J38" s="781"/>
      <c r="K38" s="782"/>
      <c r="L38" s="783">
        <f>K38+I38+G38</f>
        <v>0.64</v>
      </c>
    </row>
    <row r="39" spans="1:25" s="301" customFormat="1" ht="27.6" customHeight="1">
      <c r="A39" s="798">
        <v>6</v>
      </c>
      <c r="B39" s="799" t="s">
        <v>261</v>
      </c>
      <c r="C39" s="789" t="s">
        <v>61</v>
      </c>
      <c r="D39" s="800"/>
      <c r="E39" s="801">
        <v>1</v>
      </c>
      <c r="F39" s="768"/>
      <c r="G39" s="769"/>
      <c r="H39" s="802"/>
      <c r="I39" s="802"/>
      <c r="J39" s="803"/>
      <c r="K39" s="804"/>
      <c r="L39" s="768"/>
    </row>
    <row r="40" spans="1:25" s="51" customFormat="1" ht="20.100000000000001" customHeight="1">
      <c r="A40" s="723"/>
      <c r="B40" s="794" t="s">
        <v>42</v>
      </c>
      <c r="C40" s="711" t="s">
        <v>43</v>
      </c>
      <c r="D40" s="770">
        <v>1.69</v>
      </c>
      <c r="E40" s="707">
        <f>D40*E39</f>
        <v>1.69</v>
      </c>
      <c r="F40" s="707"/>
      <c r="G40" s="771"/>
      <c r="H40" s="707">
        <v>6</v>
      </c>
      <c r="I40" s="771">
        <f>H40*E40</f>
        <v>10.14</v>
      </c>
      <c r="J40" s="707"/>
      <c r="K40" s="771"/>
      <c r="L40" s="771">
        <f>K40+I40+G40</f>
        <v>10.14</v>
      </c>
    </row>
    <row r="41" spans="1:25" s="51" customFormat="1" ht="20.100000000000001" customHeight="1">
      <c r="A41" s="723"/>
      <c r="B41" s="795" t="s">
        <v>49</v>
      </c>
      <c r="C41" s="770" t="s">
        <v>2</v>
      </c>
      <c r="D41" s="770">
        <v>0.05</v>
      </c>
      <c r="E41" s="707">
        <f>D41*E39</f>
        <v>0.05</v>
      </c>
      <c r="F41" s="707"/>
      <c r="G41" s="771"/>
      <c r="H41" s="707"/>
      <c r="I41" s="771"/>
      <c r="J41" s="707">
        <v>4</v>
      </c>
      <c r="K41" s="771">
        <f>E41*J41</f>
        <v>0.2</v>
      </c>
      <c r="L41" s="771">
        <f>K41+I41+G41</f>
        <v>0.2</v>
      </c>
    </row>
    <row r="42" spans="1:25" s="301" customFormat="1" ht="25.2" customHeight="1">
      <c r="A42" s="252"/>
      <c r="B42" s="805" t="s">
        <v>263</v>
      </c>
      <c r="C42" s="770" t="s">
        <v>61</v>
      </c>
      <c r="D42" s="786">
        <v>1</v>
      </c>
      <c r="E42" s="787">
        <f>D42*E39</f>
        <v>1</v>
      </c>
      <c r="F42" s="783">
        <v>48.3</v>
      </c>
      <c r="G42" s="779">
        <f>F42*E42</f>
        <v>48.3</v>
      </c>
      <c r="H42" s="780"/>
      <c r="I42" s="780"/>
      <c r="J42" s="781"/>
      <c r="K42" s="782"/>
      <c r="L42" s="783">
        <f>K42+I42+G42</f>
        <v>48.3</v>
      </c>
    </row>
    <row r="43" spans="1:25" s="301" customFormat="1" ht="20.100000000000001" customHeight="1">
      <c r="A43" s="785"/>
      <c r="B43" s="795" t="s">
        <v>51</v>
      </c>
      <c r="C43" s="770" t="s">
        <v>2</v>
      </c>
      <c r="D43" s="786">
        <v>0.18</v>
      </c>
      <c r="E43" s="787">
        <f>D43*E39</f>
        <v>0.18</v>
      </c>
      <c r="F43" s="783">
        <v>4</v>
      </c>
      <c r="G43" s="779">
        <f>F43*E43</f>
        <v>0.72</v>
      </c>
      <c r="H43" s="780"/>
      <c r="I43" s="780"/>
      <c r="J43" s="781"/>
      <c r="K43" s="782"/>
      <c r="L43" s="783">
        <f>K43+I43+G43</f>
        <v>0.72</v>
      </c>
    </row>
    <row r="44" spans="1:25" ht="30" customHeight="1">
      <c r="A44" s="337">
        <v>7</v>
      </c>
      <c r="B44" s="338" t="s">
        <v>262</v>
      </c>
      <c r="C44" s="339" t="s">
        <v>65</v>
      </c>
      <c r="D44" s="340"/>
      <c r="E44" s="341">
        <v>6</v>
      </c>
      <c r="F44" s="341"/>
      <c r="G44" s="342"/>
      <c r="H44" s="343"/>
      <c r="I44" s="342"/>
      <c r="J44" s="341"/>
      <c r="K44" s="342"/>
      <c r="L44" s="34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367" customFormat="1" ht="16.2">
      <c r="A45" s="193"/>
      <c r="B45" s="150" t="s">
        <v>42</v>
      </c>
      <c r="C45" s="151" t="s">
        <v>43</v>
      </c>
      <c r="D45" s="225">
        <v>1.17</v>
      </c>
      <c r="E45" s="194">
        <f>D45*E44</f>
        <v>7.02</v>
      </c>
      <c r="F45" s="194"/>
      <c r="G45" s="195"/>
      <c r="H45" s="258">
        <v>4.5999999999999996</v>
      </c>
      <c r="I45" s="195">
        <f>H45*E45</f>
        <v>32.291999999999994</v>
      </c>
      <c r="J45" s="194"/>
      <c r="K45" s="195"/>
      <c r="L45" s="195">
        <f>K45+I45+G45</f>
        <v>32.291999999999994</v>
      </c>
    </row>
    <row r="46" spans="1:25" s="367" customFormat="1">
      <c r="A46" s="611"/>
      <c r="B46" s="231" t="s">
        <v>49</v>
      </c>
      <c r="C46" s="149" t="s">
        <v>2</v>
      </c>
      <c r="D46" s="232">
        <v>1.72E-2</v>
      </c>
      <c r="E46" s="233">
        <f>D46*E44</f>
        <v>0.1032</v>
      </c>
      <c r="F46" s="611"/>
      <c r="G46" s="611"/>
      <c r="H46" s="612"/>
      <c r="I46" s="611"/>
      <c r="J46" s="611">
        <v>4</v>
      </c>
      <c r="K46" s="611">
        <f>J46*E46</f>
        <v>0.4128</v>
      </c>
      <c r="L46" s="70">
        <f>K46+I46+G46</f>
        <v>0.4128</v>
      </c>
    </row>
    <row r="47" spans="1:25" s="367" customFormat="1">
      <c r="A47" s="232"/>
      <c r="B47" s="228" t="s">
        <v>264</v>
      </c>
      <c r="C47" s="149" t="s">
        <v>65</v>
      </c>
      <c r="D47" s="200">
        <v>1</v>
      </c>
      <c r="E47" s="233">
        <f>D47*E44</f>
        <v>6</v>
      </c>
      <c r="F47" s="233">
        <v>1.19</v>
      </c>
      <c r="G47" s="230">
        <f>F47*E47</f>
        <v>7.14</v>
      </c>
      <c r="H47" s="271"/>
      <c r="I47" s="232"/>
      <c r="J47" s="232"/>
      <c r="K47" s="232"/>
      <c r="L47" s="70">
        <f>K47+I47+G47</f>
        <v>7.14</v>
      </c>
    </row>
    <row r="48" spans="1:25" s="367" customFormat="1" ht="16.2">
      <c r="A48" s="192"/>
      <c r="B48" s="99" t="s">
        <v>141</v>
      </c>
      <c r="C48" s="151" t="s">
        <v>61</v>
      </c>
      <c r="D48" s="225"/>
      <c r="E48" s="226">
        <v>12</v>
      </c>
      <c r="F48" s="127">
        <v>0.3</v>
      </c>
      <c r="G48" s="230">
        <f>F48*E48</f>
        <v>3.5999999999999996</v>
      </c>
      <c r="H48" s="271"/>
      <c r="I48" s="232"/>
      <c r="J48" s="232"/>
      <c r="K48" s="232"/>
      <c r="L48" s="70">
        <f>K48+I48+G48</f>
        <v>3.5999999999999996</v>
      </c>
    </row>
    <row r="49" spans="1:25" ht="16.2">
      <c r="A49" s="192"/>
      <c r="B49" s="150" t="s">
        <v>51</v>
      </c>
      <c r="C49" s="151" t="s">
        <v>2</v>
      </c>
      <c r="D49" s="225">
        <v>3.9300000000000002E-2</v>
      </c>
      <c r="E49" s="226">
        <f>D49*E44</f>
        <v>0.23580000000000001</v>
      </c>
      <c r="F49" s="229">
        <v>4</v>
      </c>
      <c r="G49" s="195">
        <f>F49*E49</f>
        <v>0.94320000000000004</v>
      </c>
      <c r="H49" s="258"/>
      <c r="I49" s="195"/>
      <c r="J49" s="194"/>
      <c r="K49" s="195"/>
      <c r="L49" s="195">
        <f>K49+I49+G49</f>
        <v>0.94320000000000004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409" customFormat="1">
      <c r="A50" s="716"/>
      <c r="B50" s="717"/>
      <c r="C50" s="711"/>
      <c r="D50" s="718"/>
      <c r="E50" s="719"/>
      <c r="F50" s="719"/>
      <c r="G50" s="712"/>
      <c r="H50" s="719"/>
      <c r="I50" s="715"/>
      <c r="J50" s="719"/>
      <c r="K50" s="709"/>
      <c r="L50" s="714"/>
    </row>
    <row r="51" spans="1:25" s="367" customFormat="1">
      <c r="A51" s="356"/>
      <c r="B51" s="356" t="s">
        <v>115</v>
      </c>
      <c r="C51" s="356"/>
      <c r="D51" s="357"/>
      <c r="E51" s="356"/>
      <c r="F51" s="356"/>
      <c r="G51" s="358">
        <f>SUM(G11:G50)</f>
        <v>2245.2846382372877</v>
      </c>
      <c r="H51" s="359"/>
      <c r="I51" s="358">
        <f>SUM(I11:I50)</f>
        <v>377.22016000000002</v>
      </c>
      <c r="J51" s="358"/>
      <c r="K51" s="358">
        <f>SUM(K11:K50)</f>
        <v>21.6938928</v>
      </c>
      <c r="L51" s="358">
        <f>SUM(L11:L50)</f>
        <v>2644.1986910372875</v>
      </c>
    </row>
    <row r="52" spans="1:25" s="189" customFormat="1" ht="16.5" customHeight="1">
      <c r="A52" s="822"/>
      <c r="B52" s="832" t="s">
        <v>328</v>
      </c>
      <c r="C52" s="955">
        <v>0.05</v>
      </c>
      <c r="D52" s="823"/>
      <c r="E52" s="824"/>
      <c r="F52" s="824"/>
      <c r="G52" s="827"/>
      <c r="H52" s="824"/>
      <c r="I52" s="827"/>
      <c r="J52" s="826"/>
      <c r="K52" s="827"/>
      <c r="L52" s="827">
        <f>G51*C52</f>
        <v>112.26423191186439</v>
      </c>
      <c r="M52" s="153"/>
      <c r="N52" s="128"/>
      <c r="T52" s="284"/>
    </row>
    <row r="53" spans="1:25" s="189" customFormat="1" ht="16.5" customHeight="1">
      <c r="A53" s="822"/>
      <c r="B53" s="129" t="s">
        <v>21</v>
      </c>
      <c r="C53" s="814"/>
      <c r="D53" s="823"/>
      <c r="E53" s="824"/>
      <c r="F53" s="824"/>
      <c r="G53" s="827"/>
      <c r="H53" s="824"/>
      <c r="I53" s="827"/>
      <c r="J53" s="826"/>
      <c r="K53" s="827"/>
      <c r="L53" s="956">
        <f>L51+L52</f>
        <v>2756.462922949152</v>
      </c>
      <c r="M53" s="153"/>
      <c r="N53" s="128"/>
      <c r="T53" s="284"/>
    </row>
    <row r="54" spans="1:25" s="367" customFormat="1">
      <c r="A54" s="525"/>
      <c r="B54" s="947" t="s">
        <v>84</v>
      </c>
      <c r="C54" s="206">
        <v>0.1</v>
      </c>
      <c r="D54" s="947"/>
      <c r="E54" s="206"/>
      <c r="F54" s="947"/>
      <c r="G54" s="207"/>
      <c r="H54" s="946"/>
      <c r="I54" s="207"/>
      <c r="J54" s="207"/>
      <c r="K54" s="207"/>
      <c r="L54" s="207">
        <f>(L53)*C54</f>
        <v>275.64629229491521</v>
      </c>
    </row>
    <row r="55" spans="1:25" s="367" customFormat="1">
      <c r="A55" s="525"/>
      <c r="B55" s="947" t="s">
        <v>21</v>
      </c>
      <c r="C55" s="525"/>
      <c r="D55" s="947"/>
      <c r="E55" s="525"/>
      <c r="F55" s="525"/>
      <c r="G55" s="208"/>
      <c r="H55" s="259"/>
      <c r="I55" s="208"/>
      <c r="J55" s="208"/>
      <c r="K55" s="208"/>
      <c r="L55" s="208">
        <f>L54+L53</f>
        <v>3032.1092152440674</v>
      </c>
    </row>
    <row r="56" spans="1:25" s="367" customFormat="1">
      <c r="A56" s="525"/>
      <c r="B56" s="947" t="s">
        <v>87</v>
      </c>
      <c r="C56" s="206">
        <v>0.08</v>
      </c>
      <c r="D56" s="947"/>
      <c r="E56" s="206"/>
      <c r="F56" s="947"/>
      <c r="G56" s="207"/>
      <c r="H56" s="946"/>
      <c r="I56" s="207"/>
      <c r="J56" s="207"/>
      <c r="K56" s="207"/>
      <c r="L56" s="207">
        <f>L55*C56</f>
        <v>242.56873721952539</v>
      </c>
    </row>
    <row r="57" spans="1:25" s="367" customFormat="1">
      <c r="A57" s="525"/>
      <c r="B57" s="947" t="s">
        <v>21</v>
      </c>
      <c r="C57" s="525"/>
      <c r="D57" s="947"/>
      <c r="E57" s="525"/>
      <c r="F57" s="525"/>
      <c r="G57" s="208"/>
      <c r="H57" s="259"/>
      <c r="I57" s="208"/>
      <c r="J57" s="208"/>
      <c r="K57" s="208"/>
      <c r="L57" s="208">
        <f>SUM(L55:L56)</f>
        <v>3274.6779524635926</v>
      </c>
    </row>
    <row r="58" spans="1:25" s="367" customFormat="1">
      <c r="A58" s="45"/>
      <c r="B58" s="266"/>
      <c r="C58" s="47"/>
      <c r="D58" s="266"/>
      <c r="E58" s="266"/>
      <c r="F58" s="266"/>
      <c r="G58" s="266"/>
      <c r="H58" s="278"/>
      <c r="I58" s="266"/>
      <c r="J58" s="223"/>
      <c r="K58" s="266"/>
      <c r="L58" s="266"/>
    </row>
    <row r="59" spans="1:25" s="367" customFormat="1">
      <c r="A59" s="45"/>
      <c r="B59" s="266"/>
      <c r="C59" s="47"/>
      <c r="D59" s="266"/>
      <c r="E59" s="266"/>
      <c r="F59" s="266"/>
      <c r="G59" s="266"/>
      <c r="H59" s="278"/>
      <c r="I59" s="266"/>
      <c r="J59" s="223"/>
      <c r="K59" s="266"/>
      <c r="L59" s="266"/>
    </row>
    <row r="60" spans="1:25" s="367" customFormat="1">
      <c r="A60" s="45"/>
      <c r="B60" s="266"/>
      <c r="C60" s="47"/>
      <c r="D60" s="266"/>
      <c r="E60" s="266"/>
      <c r="F60" s="266"/>
      <c r="G60" s="266"/>
      <c r="H60" s="278"/>
      <c r="I60" s="266"/>
      <c r="J60" s="223"/>
      <c r="K60" s="266"/>
      <c r="L60" s="266"/>
    </row>
    <row r="61" spans="1:25" s="367" customFormat="1">
      <c r="A61" s="45"/>
      <c r="B61" s="266"/>
      <c r="C61" s="47"/>
      <c r="D61" s="266"/>
      <c r="E61" s="266"/>
      <c r="F61" s="266"/>
      <c r="G61" s="266"/>
      <c r="H61" s="278"/>
      <c r="I61" s="266"/>
      <c r="J61" s="223"/>
      <c r="K61" s="266"/>
      <c r="L61" s="266"/>
    </row>
    <row r="62" spans="1:25" s="367" customFormat="1">
      <c r="A62" s="45"/>
      <c r="B62" s="266"/>
      <c r="C62" s="47"/>
      <c r="D62" s="266"/>
      <c r="E62" s="266"/>
      <c r="F62" s="266"/>
      <c r="G62" s="266"/>
      <c r="H62" s="278"/>
      <c r="I62" s="266"/>
      <c r="J62" s="223"/>
      <c r="K62" s="266"/>
      <c r="L62" s="266"/>
    </row>
    <row r="63" spans="1:25" s="367" customFormat="1">
      <c r="A63" s="45"/>
      <c r="B63" s="266"/>
      <c r="C63" s="47"/>
      <c r="D63" s="266"/>
      <c r="E63" s="266"/>
      <c r="F63" s="266"/>
      <c r="G63" s="266"/>
      <c r="H63" s="278"/>
      <c r="I63" s="266"/>
      <c r="J63" s="223"/>
      <c r="K63" s="266"/>
      <c r="L63" s="266"/>
    </row>
    <row r="64" spans="1:25" s="367" customFormat="1">
      <c r="A64" s="45"/>
      <c r="B64" s="266"/>
      <c r="C64" s="47"/>
      <c r="D64" s="266"/>
      <c r="E64" s="266"/>
      <c r="F64" s="266"/>
      <c r="G64" s="266"/>
      <c r="H64" s="278"/>
      <c r="I64" s="266"/>
      <c r="J64" s="223"/>
      <c r="K64" s="266"/>
      <c r="L64" s="266"/>
    </row>
    <row r="65" spans="1:12" s="367" customFormat="1">
      <c r="A65" s="45"/>
      <c r="B65" s="266"/>
      <c r="C65" s="47"/>
      <c r="D65" s="266"/>
      <c r="E65" s="266"/>
      <c r="F65" s="266"/>
      <c r="G65" s="266"/>
      <c r="H65" s="278"/>
      <c r="I65" s="266"/>
      <c r="J65" s="223"/>
      <c r="K65" s="266"/>
      <c r="L65" s="266"/>
    </row>
    <row r="66" spans="1:12" s="367" customFormat="1">
      <c r="A66" s="45"/>
      <c r="B66" s="266"/>
      <c r="C66" s="47"/>
      <c r="D66" s="266"/>
      <c r="E66" s="266"/>
      <c r="F66" s="266"/>
      <c r="G66" s="266"/>
      <c r="H66" s="278"/>
      <c r="I66" s="266"/>
      <c r="J66" s="223"/>
      <c r="K66" s="266"/>
      <c r="L66" s="266"/>
    </row>
    <row r="67" spans="1:12" s="367" customFormat="1">
      <c r="A67" s="45"/>
      <c r="B67" s="266"/>
      <c r="C67" s="47"/>
      <c r="D67" s="266"/>
      <c r="E67" s="266"/>
      <c r="F67" s="266"/>
      <c r="G67" s="266"/>
      <c r="H67" s="278"/>
      <c r="I67" s="266"/>
      <c r="J67" s="223"/>
      <c r="K67" s="266"/>
      <c r="L67" s="266"/>
    </row>
    <row r="68" spans="1:12" s="367" customFormat="1">
      <c r="A68" s="45"/>
      <c r="B68" s="266"/>
      <c r="C68" s="47"/>
      <c r="D68" s="266"/>
      <c r="E68" s="266"/>
      <c r="F68" s="266"/>
      <c r="G68" s="266"/>
      <c r="H68" s="278"/>
      <c r="I68" s="266"/>
      <c r="J68" s="223"/>
      <c r="K68" s="266"/>
      <c r="L68" s="266"/>
    </row>
    <row r="69" spans="1:12" s="367" customFormat="1">
      <c r="A69" s="45"/>
      <c r="B69" s="266"/>
      <c r="C69" s="47"/>
      <c r="D69" s="266"/>
      <c r="E69" s="266"/>
      <c r="F69" s="266"/>
      <c r="G69" s="266"/>
      <c r="H69" s="278"/>
      <c r="I69" s="266"/>
      <c r="J69" s="223"/>
      <c r="K69" s="266"/>
      <c r="L69" s="266"/>
    </row>
    <row r="70" spans="1:12" s="367" customFormat="1">
      <c r="A70" s="45"/>
      <c r="B70" s="266"/>
      <c r="C70" s="47"/>
      <c r="D70" s="266"/>
      <c r="E70" s="266"/>
      <c r="F70" s="266"/>
      <c r="G70" s="266"/>
      <c r="H70" s="278"/>
      <c r="I70" s="266"/>
      <c r="J70" s="223"/>
      <c r="K70" s="266"/>
      <c r="L70" s="266"/>
    </row>
    <row r="71" spans="1:12" s="367" customFormat="1">
      <c r="A71" s="45"/>
      <c r="B71" s="266"/>
      <c r="C71" s="47"/>
      <c r="D71" s="266"/>
      <c r="E71" s="266"/>
      <c r="F71" s="266"/>
      <c r="G71" s="266"/>
      <c r="H71" s="278"/>
      <c r="I71" s="266"/>
      <c r="J71" s="223"/>
      <c r="K71" s="266"/>
      <c r="L71" s="266"/>
    </row>
    <row r="72" spans="1:12" s="367" customFormat="1" ht="32.4" customHeight="1">
      <c r="A72" s="45"/>
      <c r="B72" s="266"/>
      <c r="C72" s="47"/>
      <c r="D72" s="266"/>
      <c r="E72" s="266"/>
      <c r="F72" s="266"/>
      <c r="G72" s="266"/>
      <c r="H72" s="278"/>
      <c r="I72" s="266"/>
      <c r="J72" s="223"/>
      <c r="K72" s="266"/>
      <c r="L72" s="266"/>
    </row>
    <row r="73" spans="1:12" s="367" customFormat="1">
      <c r="A73" s="45"/>
      <c r="B73" s="266"/>
      <c r="C73" s="47"/>
      <c r="D73" s="266"/>
      <c r="E73" s="266"/>
      <c r="F73" s="266"/>
      <c r="G73" s="266"/>
      <c r="H73" s="278"/>
      <c r="I73" s="266"/>
      <c r="J73" s="223"/>
      <c r="K73" s="266"/>
      <c r="L73" s="266"/>
    </row>
    <row r="74" spans="1:12" s="367" customFormat="1">
      <c r="A74" s="45"/>
      <c r="B74" s="266"/>
      <c r="C74" s="47"/>
      <c r="D74" s="266"/>
      <c r="E74" s="266"/>
      <c r="F74" s="266"/>
      <c r="G74" s="266"/>
      <c r="H74" s="278"/>
      <c r="I74" s="266"/>
      <c r="J74" s="223"/>
      <c r="K74" s="266"/>
      <c r="L74" s="266"/>
    </row>
    <row r="75" spans="1:12" s="367" customFormat="1">
      <c r="A75" s="45"/>
      <c r="B75" s="266"/>
      <c r="C75" s="47"/>
      <c r="D75" s="266"/>
      <c r="E75" s="266"/>
      <c r="F75" s="266"/>
      <c r="G75" s="266"/>
      <c r="H75" s="278"/>
      <c r="I75" s="266"/>
      <c r="J75" s="223"/>
      <c r="K75" s="266"/>
      <c r="L75" s="266"/>
    </row>
    <row r="76" spans="1:12" s="367" customFormat="1">
      <c r="A76" s="45"/>
      <c r="B76" s="266"/>
      <c r="C76" s="47"/>
      <c r="D76" s="266"/>
      <c r="E76" s="266"/>
      <c r="F76" s="266"/>
      <c r="G76" s="266"/>
      <c r="H76" s="278"/>
      <c r="I76" s="266"/>
      <c r="J76" s="223"/>
      <c r="K76" s="266"/>
      <c r="L76" s="266"/>
    </row>
    <row r="77" spans="1:12" s="367" customFormat="1">
      <c r="A77" s="45"/>
      <c r="B77" s="266"/>
      <c r="C77" s="47"/>
      <c r="D77" s="266"/>
      <c r="E77" s="266"/>
      <c r="F77" s="266"/>
      <c r="G77" s="266"/>
      <c r="H77" s="278"/>
      <c r="I77" s="266"/>
      <c r="J77" s="223"/>
      <c r="K77" s="266"/>
      <c r="L77" s="266"/>
    </row>
    <row r="78" spans="1:12" s="367" customFormat="1">
      <c r="A78" s="45"/>
      <c r="B78" s="266"/>
      <c r="C78" s="47"/>
      <c r="D78" s="266"/>
      <c r="E78" s="266"/>
      <c r="F78" s="266"/>
      <c r="G78" s="266"/>
      <c r="H78" s="278"/>
      <c r="I78" s="266"/>
      <c r="J78" s="223"/>
      <c r="K78" s="266"/>
      <c r="L78" s="266"/>
    </row>
    <row r="79" spans="1:12" s="367" customFormat="1">
      <c r="A79" s="45"/>
      <c r="B79" s="266"/>
      <c r="C79" s="47"/>
      <c r="D79" s="266"/>
      <c r="E79" s="266"/>
      <c r="F79" s="266"/>
      <c r="G79" s="266"/>
      <c r="H79" s="278"/>
      <c r="I79" s="266"/>
      <c r="J79" s="223"/>
      <c r="K79" s="266"/>
      <c r="L79" s="266"/>
    </row>
    <row r="80" spans="1:12" s="367" customFormat="1">
      <c r="A80" s="45"/>
      <c r="B80" s="266"/>
      <c r="C80" s="47"/>
      <c r="D80" s="266"/>
      <c r="E80" s="266"/>
      <c r="F80" s="266"/>
      <c r="G80" s="266"/>
      <c r="H80" s="278"/>
      <c r="I80" s="266"/>
      <c r="J80" s="223"/>
      <c r="K80" s="266"/>
      <c r="L80" s="266"/>
    </row>
    <row r="81" spans="1:25" s="367" customFormat="1">
      <c r="A81" s="45"/>
      <c r="B81" s="266"/>
      <c r="C81" s="47"/>
      <c r="D81" s="266"/>
      <c r="E81" s="266"/>
      <c r="F81" s="266"/>
      <c r="G81" s="266"/>
      <c r="H81" s="278"/>
      <c r="I81" s="266"/>
      <c r="J81" s="223"/>
      <c r="K81" s="266"/>
      <c r="L81" s="266"/>
    </row>
    <row r="82" spans="1:25" s="367" customFormat="1">
      <c r="A82" s="45"/>
      <c r="B82" s="266"/>
      <c r="C82" s="47"/>
      <c r="D82" s="266"/>
      <c r="E82" s="266"/>
      <c r="F82" s="266"/>
      <c r="G82" s="266"/>
      <c r="H82" s="278"/>
      <c r="I82" s="266"/>
      <c r="J82" s="223"/>
      <c r="K82" s="266"/>
      <c r="L82" s="266"/>
    </row>
    <row r="83" spans="1:25" s="367" customFormat="1">
      <c r="A83" s="45"/>
      <c r="B83" s="266"/>
      <c r="C83" s="47"/>
      <c r="D83" s="266"/>
      <c r="E83" s="266"/>
      <c r="F83" s="266"/>
      <c r="G83" s="266"/>
      <c r="H83" s="278"/>
      <c r="I83" s="266"/>
      <c r="J83" s="223"/>
      <c r="K83" s="266"/>
      <c r="L83" s="266"/>
    </row>
    <row r="84" spans="1:25" s="367" customFormat="1">
      <c r="A84" s="45"/>
      <c r="B84" s="266"/>
      <c r="C84" s="47"/>
      <c r="D84" s="266"/>
      <c r="E84" s="266"/>
      <c r="F84" s="266"/>
      <c r="G84" s="266"/>
      <c r="H84" s="278"/>
      <c r="I84" s="266"/>
      <c r="J84" s="223"/>
      <c r="K84" s="266"/>
      <c r="L84" s="266"/>
    </row>
    <row r="85" spans="1:25" s="367" customFormat="1">
      <c r="A85" s="45"/>
      <c r="B85" s="266"/>
      <c r="C85" s="47"/>
      <c r="D85" s="266"/>
      <c r="E85" s="266"/>
      <c r="F85" s="266"/>
      <c r="G85" s="266"/>
      <c r="H85" s="278"/>
      <c r="I85" s="266"/>
      <c r="J85" s="223"/>
      <c r="K85" s="266"/>
      <c r="L85" s="266"/>
    </row>
    <row r="86" spans="1:25" s="367" customFormat="1">
      <c r="A86" s="45"/>
      <c r="B86" s="266"/>
      <c r="C86" s="47"/>
      <c r="D86" s="266"/>
      <c r="E86" s="266"/>
      <c r="F86" s="266"/>
      <c r="G86" s="266"/>
      <c r="H86" s="278"/>
      <c r="I86" s="266"/>
      <c r="J86" s="223"/>
      <c r="K86" s="266"/>
      <c r="L86" s="266"/>
    </row>
    <row r="87" spans="1:25" s="367" customFormat="1">
      <c r="A87" s="45"/>
      <c r="B87" s="266"/>
      <c r="C87" s="47"/>
      <c r="D87" s="266"/>
      <c r="E87" s="266"/>
      <c r="F87" s="266"/>
      <c r="G87" s="266"/>
      <c r="H87" s="278"/>
      <c r="I87" s="266"/>
      <c r="J87" s="223"/>
      <c r="K87" s="266"/>
      <c r="L87" s="266"/>
    </row>
    <row r="88" spans="1:25" s="367" customFormat="1">
      <c r="A88" s="45"/>
      <c r="B88" s="266"/>
      <c r="C88" s="47"/>
      <c r="D88" s="266"/>
      <c r="E88" s="266"/>
      <c r="F88" s="266"/>
      <c r="G88" s="266"/>
      <c r="H88" s="278"/>
      <c r="I88" s="266"/>
      <c r="J88" s="223"/>
      <c r="K88" s="266"/>
      <c r="L88" s="266"/>
    </row>
    <row r="89" spans="1:25" s="367" customFormat="1">
      <c r="A89" s="45"/>
      <c r="B89" s="266"/>
      <c r="C89" s="47"/>
      <c r="D89" s="266"/>
      <c r="E89" s="266"/>
      <c r="F89" s="266"/>
      <c r="G89" s="266"/>
      <c r="H89" s="278"/>
      <c r="I89" s="266"/>
      <c r="J89" s="223"/>
      <c r="K89" s="266"/>
      <c r="L89" s="266"/>
    </row>
    <row r="90" spans="1:25" s="367" customFormat="1">
      <c r="A90" s="45"/>
      <c r="B90" s="266"/>
      <c r="C90" s="47"/>
      <c r="D90" s="266"/>
      <c r="E90" s="266"/>
      <c r="F90" s="266"/>
      <c r="G90" s="266"/>
      <c r="H90" s="278"/>
      <c r="I90" s="266"/>
      <c r="J90" s="223"/>
      <c r="K90" s="266"/>
      <c r="L90" s="266"/>
    </row>
    <row r="91" spans="1:25" s="367" customFormat="1">
      <c r="A91" s="45"/>
      <c r="B91" s="266"/>
      <c r="C91" s="47"/>
      <c r="D91" s="266"/>
      <c r="E91" s="266"/>
      <c r="F91" s="266"/>
      <c r="G91" s="266"/>
      <c r="H91" s="278"/>
      <c r="I91" s="266"/>
      <c r="J91" s="223"/>
      <c r="K91" s="266"/>
      <c r="L91" s="266"/>
    </row>
    <row r="92" spans="1:25" s="367" customFormat="1">
      <c r="A92" s="45"/>
      <c r="B92" s="266"/>
      <c r="C92" s="47"/>
      <c r="D92" s="266"/>
      <c r="E92" s="266"/>
      <c r="F92" s="266"/>
      <c r="G92" s="266"/>
      <c r="H92" s="278"/>
      <c r="I92" s="266"/>
      <c r="J92" s="223"/>
      <c r="K92" s="266"/>
      <c r="L92" s="266"/>
    </row>
    <row r="93" spans="1:25" s="367" customFormat="1">
      <c r="A93" s="45"/>
      <c r="B93" s="266"/>
      <c r="C93" s="47"/>
      <c r="D93" s="266"/>
      <c r="E93" s="266"/>
      <c r="F93" s="266"/>
      <c r="G93" s="266"/>
      <c r="H93" s="278"/>
      <c r="I93" s="266"/>
      <c r="J93" s="223"/>
      <c r="K93" s="266"/>
      <c r="L93" s="266"/>
    </row>
    <row r="94" spans="1:25" s="18" customFormat="1">
      <c r="A94" s="40"/>
      <c r="B94" s="60"/>
      <c r="D94" s="60"/>
      <c r="E94" s="60"/>
      <c r="F94" s="60"/>
      <c r="G94" s="60"/>
      <c r="H94" s="279"/>
      <c r="I94" s="60"/>
      <c r="J94" s="224"/>
      <c r="K94" s="60"/>
      <c r="L94" s="60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</row>
    <row r="95" spans="1:25" s="18" customFormat="1">
      <c r="A95" s="40"/>
      <c r="B95" s="60"/>
      <c r="D95" s="60"/>
      <c r="E95" s="60"/>
      <c r="F95" s="60"/>
      <c r="G95" s="60"/>
      <c r="H95" s="279"/>
      <c r="I95" s="60"/>
      <c r="J95" s="224"/>
      <c r="K95" s="60"/>
      <c r="L95" s="60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</row>
    <row r="96" spans="1:25" s="18" customFormat="1">
      <c r="A96" s="40"/>
      <c r="B96" s="60"/>
      <c r="D96" s="60"/>
      <c r="E96" s="60"/>
      <c r="F96" s="60"/>
      <c r="G96" s="60"/>
      <c r="H96" s="279"/>
      <c r="I96" s="60"/>
      <c r="J96" s="224"/>
      <c r="K96" s="60"/>
      <c r="L96" s="60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</row>
    <row r="97" spans="1:25" s="18" customFormat="1">
      <c r="A97" s="40"/>
      <c r="B97" s="60"/>
      <c r="D97" s="60"/>
      <c r="E97" s="60"/>
      <c r="F97" s="60"/>
      <c r="G97" s="60"/>
      <c r="H97" s="279"/>
      <c r="I97" s="60"/>
      <c r="J97" s="224"/>
      <c r="K97" s="60"/>
      <c r="L97" s="60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</row>
    <row r="98" spans="1:25" s="18" customFormat="1">
      <c r="A98" s="40"/>
      <c r="B98" s="60"/>
      <c r="D98" s="60"/>
      <c r="E98" s="60"/>
      <c r="F98" s="60"/>
      <c r="G98" s="60"/>
      <c r="H98" s="279"/>
      <c r="I98" s="60"/>
      <c r="J98" s="224"/>
      <c r="K98" s="60"/>
      <c r="L98" s="60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</row>
    <row r="99" spans="1:25" s="18" customFormat="1">
      <c r="A99" s="40"/>
      <c r="B99" s="60"/>
      <c r="D99" s="60"/>
      <c r="E99" s="60"/>
      <c r="F99" s="60"/>
      <c r="G99" s="60"/>
      <c r="H99" s="279"/>
      <c r="I99" s="60"/>
      <c r="J99" s="224"/>
      <c r="K99" s="60"/>
      <c r="L99" s="60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</row>
    <row r="100" spans="1:25" s="18" customFormat="1">
      <c r="A100" s="40"/>
      <c r="B100" s="60"/>
      <c r="D100" s="60"/>
      <c r="E100" s="60"/>
      <c r="F100" s="60"/>
      <c r="G100" s="60"/>
      <c r="H100" s="279"/>
      <c r="I100" s="60"/>
      <c r="J100" s="224"/>
      <c r="K100" s="60"/>
      <c r="L100" s="60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</row>
    <row r="101" spans="1:25" s="18" customFormat="1">
      <c r="A101" s="40"/>
      <c r="B101" s="60"/>
      <c r="D101" s="60"/>
      <c r="E101" s="60"/>
      <c r="F101" s="60"/>
      <c r="G101" s="60"/>
      <c r="H101" s="279"/>
      <c r="I101" s="60"/>
      <c r="J101" s="224"/>
      <c r="K101" s="60"/>
      <c r="L101" s="60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</row>
    <row r="102" spans="1:25" s="18" customFormat="1">
      <c r="A102" s="40"/>
      <c r="B102" s="60"/>
      <c r="D102" s="60"/>
      <c r="E102" s="60"/>
      <c r="F102" s="60"/>
      <c r="G102" s="60"/>
      <c r="H102" s="279"/>
      <c r="I102" s="60"/>
      <c r="J102" s="224"/>
      <c r="K102" s="60"/>
      <c r="L102" s="60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</row>
    <row r="103" spans="1:25" s="18" customFormat="1">
      <c r="A103" s="40"/>
      <c r="B103" s="60"/>
      <c r="D103" s="60"/>
      <c r="E103" s="60"/>
      <c r="F103" s="60"/>
      <c r="G103" s="60"/>
      <c r="H103" s="279"/>
      <c r="I103" s="60"/>
      <c r="J103" s="224"/>
      <c r="K103" s="60"/>
      <c r="L103" s="60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</row>
    <row r="104" spans="1:25" s="18" customFormat="1">
      <c r="A104" s="40"/>
      <c r="B104" s="60"/>
      <c r="D104" s="60"/>
      <c r="E104" s="60"/>
      <c r="F104" s="60"/>
      <c r="G104" s="60"/>
      <c r="H104" s="279"/>
      <c r="I104" s="60"/>
      <c r="J104" s="224"/>
      <c r="K104" s="60"/>
      <c r="L104" s="60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</row>
    <row r="105" spans="1:25" s="18" customFormat="1">
      <c r="A105" s="40"/>
      <c r="B105" s="60"/>
      <c r="D105" s="60"/>
      <c r="E105" s="60"/>
      <c r="F105" s="60"/>
      <c r="G105" s="60"/>
      <c r="H105" s="279"/>
      <c r="I105" s="60"/>
      <c r="J105" s="224"/>
      <c r="K105" s="60"/>
      <c r="L105" s="60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</row>
    <row r="106" spans="1:25" s="18" customFormat="1">
      <c r="A106" s="40"/>
      <c r="B106" s="60"/>
      <c r="D106" s="60"/>
      <c r="E106" s="60"/>
      <c r="F106" s="60"/>
      <c r="G106" s="60"/>
      <c r="H106" s="279"/>
      <c r="I106" s="60"/>
      <c r="J106" s="224"/>
      <c r="K106" s="60"/>
      <c r="L106" s="60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</row>
    <row r="107" spans="1:25" s="18" customFormat="1">
      <c r="A107" s="40"/>
      <c r="B107" s="60"/>
      <c r="D107" s="60"/>
      <c r="E107" s="60"/>
      <c r="F107" s="60"/>
      <c r="G107" s="60"/>
      <c r="H107" s="279"/>
      <c r="I107" s="60"/>
      <c r="J107" s="224"/>
      <c r="K107" s="60"/>
      <c r="L107" s="60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</row>
    <row r="108" spans="1:25" s="18" customFormat="1">
      <c r="A108" s="40"/>
      <c r="B108" s="60"/>
      <c r="D108" s="60"/>
      <c r="E108" s="60"/>
      <c r="F108" s="60"/>
      <c r="G108" s="60"/>
      <c r="H108" s="279"/>
      <c r="I108" s="60"/>
      <c r="J108" s="224"/>
      <c r="K108" s="60"/>
      <c r="L108" s="60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</row>
    <row r="109" spans="1:25" s="18" customFormat="1">
      <c r="A109" s="40"/>
      <c r="B109" s="60"/>
      <c r="D109" s="60"/>
      <c r="E109" s="60"/>
      <c r="F109" s="60"/>
      <c r="G109" s="60"/>
      <c r="H109" s="279"/>
      <c r="I109" s="60"/>
      <c r="J109" s="224"/>
      <c r="K109" s="60"/>
      <c r="L109" s="60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</row>
    <row r="110" spans="1:25" s="18" customFormat="1">
      <c r="A110" s="40"/>
      <c r="B110" s="60"/>
      <c r="D110" s="60"/>
      <c r="E110" s="60"/>
      <c r="F110" s="60"/>
      <c r="G110" s="60"/>
      <c r="H110" s="279"/>
      <c r="I110" s="60"/>
      <c r="J110" s="224"/>
      <c r="K110" s="60"/>
      <c r="L110" s="60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</row>
    <row r="111" spans="1:25" s="18" customFormat="1">
      <c r="A111" s="40"/>
      <c r="B111" s="60"/>
      <c r="D111" s="60"/>
      <c r="E111" s="60"/>
      <c r="F111" s="60"/>
      <c r="G111" s="60"/>
      <c r="H111" s="279"/>
      <c r="I111" s="60"/>
      <c r="J111" s="224"/>
      <c r="K111" s="60"/>
      <c r="L111" s="60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</row>
    <row r="112" spans="1:25" s="18" customFormat="1">
      <c r="A112" s="40"/>
      <c r="B112" s="60"/>
      <c r="D112" s="60"/>
      <c r="E112" s="60"/>
      <c r="F112" s="60"/>
      <c r="G112" s="60"/>
      <c r="H112" s="279"/>
      <c r="I112" s="60"/>
      <c r="J112" s="224"/>
      <c r="K112" s="60"/>
      <c r="L112" s="60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</row>
    <row r="113" spans="1:25" s="18" customFormat="1">
      <c r="A113" s="40"/>
      <c r="B113" s="60"/>
      <c r="D113" s="60"/>
      <c r="E113" s="60"/>
      <c r="F113" s="60"/>
      <c r="G113" s="60"/>
      <c r="H113" s="279"/>
      <c r="I113" s="60"/>
      <c r="J113" s="224"/>
      <c r="K113" s="60"/>
      <c r="L113" s="60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</row>
    <row r="114" spans="1:25" s="18" customFormat="1">
      <c r="A114" s="40"/>
      <c r="B114" s="60"/>
      <c r="D114" s="60"/>
      <c r="E114" s="60"/>
      <c r="F114" s="60"/>
      <c r="G114" s="60"/>
      <c r="H114" s="279"/>
      <c r="I114" s="60"/>
      <c r="J114" s="224"/>
      <c r="K114" s="60"/>
      <c r="L114" s="60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</row>
    <row r="115" spans="1:25" s="18" customFormat="1">
      <c r="A115" s="40"/>
      <c r="B115" s="60"/>
      <c r="D115" s="60"/>
      <c r="E115" s="60"/>
      <c r="F115" s="60"/>
      <c r="G115" s="60"/>
      <c r="H115" s="279"/>
      <c r="I115" s="60"/>
      <c r="J115" s="224"/>
      <c r="K115" s="60"/>
      <c r="L115" s="60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</row>
    <row r="116" spans="1:25" s="18" customFormat="1">
      <c r="A116" s="40"/>
      <c r="B116" s="60"/>
      <c r="D116" s="60"/>
      <c r="E116" s="60"/>
      <c r="F116" s="60"/>
      <c r="G116" s="60"/>
      <c r="H116" s="279"/>
      <c r="I116" s="60"/>
      <c r="J116" s="224"/>
      <c r="K116" s="60"/>
      <c r="L116" s="60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</row>
    <row r="117" spans="1:25" s="18" customFormat="1">
      <c r="A117" s="40"/>
      <c r="B117" s="60"/>
      <c r="D117" s="60"/>
      <c r="E117" s="60"/>
      <c r="F117" s="60"/>
      <c r="G117" s="60"/>
      <c r="H117" s="279"/>
      <c r="I117" s="60"/>
      <c r="J117" s="224"/>
      <c r="K117" s="60"/>
      <c r="L117" s="60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</row>
    <row r="118" spans="1:25" s="18" customFormat="1">
      <c r="A118" s="40"/>
      <c r="B118" s="60"/>
      <c r="D118" s="60"/>
      <c r="E118" s="60"/>
      <c r="F118" s="60"/>
      <c r="G118" s="60"/>
      <c r="H118" s="279"/>
      <c r="I118" s="60"/>
      <c r="J118" s="224"/>
      <c r="K118" s="60"/>
      <c r="L118" s="60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</row>
    <row r="119" spans="1:25" s="18" customFormat="1">
      <c r="A119" s="40"/>
      <c r="B119" s="60"/>
      <c r="D119" s="60"/>
      <c r="E119" s="60"/>
      <c r="F119" s="60"/>
      <c r="G119" s="60"/>
      <c r="H119" s="279"/>
      <c r="I119" s="60"/>
      <c r="J119" s="224"/>
      <c r="K119" s="60"/>
      <c r="L119" s="60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</row>
    <row r="120" spans="1:25" s="18" customFormat="1">
      <c r="A120" s="40"/>
      <c r="B120" s="60"/>
      <c r="D120" s="60"/>
      <c r="E120" s="60"/>
      <c r="F120" s="60"/>
      <c r="G120" s="60"/>
      <c r="H120" s="279"/>
      <c r="I120" s="60"/>
      <c r="J120" s="224"/>
      <c r="K120" s="60"/>
      <c r="L120" s="60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</row>
    <row r="121" spans="1:25" s="18" customFormat="1">
      <c r="A121" s="40"/>
      <c r="B121" s="60"/>
      <c r="D121" s="60"/>
      <c r="E121" s="60"/>
      <c r="F121" s="60"/>
      <c r="G121" s="60"/>
      <c r="H121" s="279"/>
      <c r="I121" s="60"/>
      <c r="J121" s="224"/>
      <c r="K121" s="60"/>
      <c r="L121" s="60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</row>
    <row r="122" spans="1:25" s="18" customFormat="1">
      <c r="A122" s="40"/>
      <c r="B122" s="60"/>
      <c r="D122" s="60"/>
      <c r="E122" s="60"/>
      <c r="F122" s="60"/>
      <c r="G122" s="60"/>
      <c r="H122" s="279"/>
      <c r="I122" s="60"/>
      <c r="J122" s="224"/>
      <c r="K122" s="60"/>
      <c r="L122" s="60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</row>
    <row r="123" spans="1:25" s="18" customFormat="1">
      <c r="A123" s="40"/>
      <c r="B123" s="60"/>
      <c r="D123" s="60"/>
      <c r="E123" s="60"/>
      <c r="F123" s="60"/>
      <c r="G123" s="60"/>
      <c r="H123" s="279"/>
      <c r="I123" s="60"/>
      <c r="J123" s="224"/>
      <c r="K123" s="60"/>
      <c r="L123" s="60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</row>
    <row r="124" spans="1:25" s="18" customFormat="1">
      <c r="A124" s="40"/>
      <c r="B124" s="60"/>
      <c r="D124" s="60"/>
      <c r="E124" s="60"/>
      <c r="F124" s="60"/>
      <c r="G124" s="60"/>
      <c r="H124" s="279"/>
      <c r="I124" s="60"/>
      <c r="J124" s="224"/>
      <c r="K124" s="60"/>
      <c r="L124" s="60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</row>
    <row r="125" spans="1:25" s="18" customFormat="1">
      <c r="A125" s="40"/>
      <c r="B125" s="60"/>
      <c r="D125" s="60"/>
      <c r="E125" s="60"/>
      <c r="F125" s="60"/>
      <c r="G125" s="60"/>
      <c r="H125" s="279"/>
      <c r="I125" s="60"/>
      <c r="J125" s="224"/>
      <c r="K125" s="60"/>
      <c r="L125" s="60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</row>
    <row r="126" spans="1:25" s="367" customFormat="1">
      <c r="A126" s="40"/>
      <c r="B126" s="60"/>
      <c r="C126" s="18"/>
      <c r="D126" s="60"/>
      <c r="E126" s="60"/>
      <c r="F126" s="60"/>
      <c r="G126" s="60"/>
      <c r="H126" s="279"/>
      <c r="I126" s="60"/>
      <c r="J126" s="224"/>
      <c r="K126" s="60"/>
      <c r="L126" s="60"/>
    </row>
    <row r="127" spans="1:25" s="367" customFormat="1">
      <c r="A127" s="40"/>
      <c r="B127" s="60"/>
      <c r="C127" s="18"/>
      <c r="D127" s="60"/>
      <c r="E127" s="60"/>
      <c r="F127" s="60"/>
      <c r="G127" s="60"/>
      <c r="H127" s="279"/>
      <c r="I127" s="60"/>
      <c r="J127" s="224"/>
      <c r="K127" s="60"/>
      <c r="L127" s="60"/>
    </row>
    <row r="128" spans="1:25" s="367" customFormat="1">
      <c r="A128" s="40"/>
      <c r="B128" s="60"/>
      <c r="C128" s="18"/>
      <c r="D128" s="60"/>
      <c r="E128" s="60"/>
      <c r="F128" s="60"/>
      <c r="G128" s="60"/>
      <c r="H128" s="279"/>
      <c r="I128" s="60"/>
      <c r="J128" s="224"/>
      <c r="K128" s="60"/>
      <c r="L128" s="60"/>
    </row>
    <row r="129" spans="1:12" s="367" customFormat="1">
      <c r="A129" s="40"/>
      <c r="B129" s="60"/>
      <c r="C129" s="18"/>
      <c r="D129" s="60"/>
      <c r="E129" s="60"/>
      <c r="F129" s="60"/>
      <c r="G129" s="60"/>
      <c r="H129" s="279"/>
      <c r="I129" s="60"/>
      <c r="J129" s="224"/>
      <c r="K129" s="60"/>
      <c r="L129" s="60"/>
    </row>
    <row r="130" spans="1:12" s="367" customFormat="1">
      <c r="A130" s="40"/>
      <c r="B130" s="60"/>
      <c r="C130" s="18"/>
      <c r="D130" s="60"/>
      <c r="E130" s="60"/>
      <c r="F130" s="60"/>
      <c r="G130" s="60"/>
      <c r="H130" s="279"/>
      <c r="I130" s="60"/>
      <c r="J130" s="224"/>
      <c r="K130" s="60"/>
      <c r="L130" s="60"/>
    </row>
    <row r="131" spans="1:12" s="367" customFormat="1">
      <c r="A131" s="40"/>
      <c r="B131" s="60"/>
      <c r="C131" s="18"/>
      <c r="D131" s="60"/>
      <c r="E131" s="60"/>
      <c r="F131" s="60"/>
      <c r="G131" s="60"/>
      <c r="H131" s="279"/>
      <c r="I131" s="60"/>
      <c r="J131" s="224"/>
      <c r="K131" s="60"/>
      <c r="L131" s="60"/>
    </row>
    <row r="132" spans="1:12" s="367" customFormat="1">
      <c r="A132" s="40"/>
      <c r="B132" s="60"/>
      <c r="C132" s="18"/>
      <c r="D132" s="60"/>
      <c r="E132" s="60"/>
      <c r="F132" s="60"/>
      <c r="G132" s="60"/>
      <c r="H132" s="279"/>
      <c r="I132" s="60"/>
      <c r="J132" s="224"/>
      <c r="K132" s="60"/>
      <c r="L132" s="60"/>
    </row>
    <row r="133" spans="1:12" s="367" customFormat="1">
      <c r="A133" s="40"/>
      <c r="B133" s="60"/>
      <c r="C133" s="18"/>
      <c r="D133" s="60"/>
      <c r="E133" s="60"/>
      <c r="F133" s="60"/>
      <c r="G133" s="60"/>
      <c r="H133" s="279"/>
      <c r="I133" s="60"/>
      <c r="J133" s="224"/>
      <c r="K133" s="60"/>
      <c r="L133" s="60"/>
    </row>
    <row r="134" spans="1:12" s="367" customFormat="1">
      <c r="A134" s="40"/>
      <c r="B134" s="60"/>
      <c r="C134" s="18"/>
      <c r="D134" s="60"/>
      <c r="E134" s="60"/>
      <c r="F134" s="60"/>
      <c r="G134" s="60"/>
      <c r="H134" s="279"/>
      <c r="I134" s="60"/>
      <c r="J134" s="224"/>
      <c r="K134" s="60"/>
      <c r="L134" s="60"/>
    </row>
    <row r="135" spans="1:12" s="367" customFormat="1">
      <c r="A135" s="40"/>
      <c r="B135" s="60"/>
      <c r="C135" s="18"/>
      <c r="D135" s="60"/>
      <c r="E135" s="60"/>
      <c r="F135" s="60"/>
      <c r="G135" s="60"/>
      <c r="H135" s="279"/>
      <c r="I135" s="60"/>
      <c r="J135" s="224"/>
      <c r="K135" s="60"/>
      <c r="L135" s="60"/>
    </row>
    <row r="136" spans="1:12" s="367" customFormat="1">
      <c r="A136" s="40"/>
      <c r="B136" s="60"/>
      <c r="C136" s="18"/>
      <c r="D136" s="60"/>
      <c r="E136" s="60"/>
      <c r="F136" s="60"/>
      <c r="G136" s="60"/>
      <c r="H136" s="279"/>
      <c r="I136" s="60"/>
      <c r="J136" s="224"/>
      <c r="K136" s="60"/>
      <c r="L136" s="60"/>
    </row>
    <row r="137" spans="1:12" s="367" customFormat="1">
      <c r="A137" s="40"/>
      <c r="B137" s="60"/>
      <c r="C137" s="18"/>
      <c r="D137" s="60"/>
      <c r="E137" s="60"/>
      <c r="F137" s="60"/>
      <c r="G137" s="60"/>
      <c r="H137" s="279"/>
      <c r="I137" s="60"/>
      <c r="J137" s="224"/>
      <c r="K137" s="60"/>
      <c r="L137" s="60"/>
    </row>
    <row r="138" spans="1:12" s="367" customFormat="1">
      <c r="A138" s="40"/>
      <c r="B138" s="60"/>
      <c r="C138" s="18"/>
      <c r="D138" s="60"/>
      <c r="E138" s="60"/>
      <c r="F138" s="60"/>
      <c r="G138" s="60"/>
      <c r="H138" s="279"/>
      <c r="I138" s="60"/>
      <c r="J138" s="224"/>
      <c r="K138" s="60"/>
      <c r="L138" s="60"/>
    </row>
    <row r="139" spans="1:12" s="367" customFormat="1">
      <c r="A139" s="40"/>
      <c r="B139" s="60"/>
      <c r="C139" s="18"/>
      <c r="D139" s="60"/>
      <c r="E139" s="60"/>
      <c r="F139" s="60"/>
      <c r="G139" s="60"/>
      <c r="H139" s="279"/>
      <c r="I139" s="60"/>
      <c r="J139" s="224"/>
      <c r="K139" s="60"/>
      <c r="L139" s="60"/>
    </row>
    <row r="140" spans="1:12" s="367" customFormat="1">
      <c r="A140" s="40"/>
      <c r="B140" s="60"/>
      <c r="C140" s="18"/>
      <c r="D140" s="60"/>
      <c r="E140" s="60"/>
      <c r="F140" s="60"/>
      <c r="G140" s="60"/>
      <c r="H140" s="279"/>
      <c r="I140" s="60"/>
      <c r="J140" s="224"/>
      <c r="K140" s="60"/>
      <c r="L140" s="60"/>
    </row>
    <row r="141" spans="1:12" s="367" customFormat="1">
      <c r="A141" s="50"/>
      <c r="B141" s="18"/>
      <c r="C141" s="18"/>
      <c r="D141" s="18"/>
      <c r="E141" s="18"/>
      <c r="F141" s="18"/>
      <c r="G141" s="18"/>
      <c r="H141" s="274"/>
      <c r="I141" s="18"/>
      <c r="J141" s="54"/>
      <c r="K141" s="18"/>
      <c r="L141" s="18"/>
    </row>
    <row r="142" spans="1:12" s="367" customFormat="1">
      <c r="A142" s="50"/>
      <c r="B142" s="18"/>
      <c r="C142" s="18"/>
      <c r="D142" s="18"/>
      <c r="E142" s="18"/>
      <c r="F142" s="18"/>
      <c r="G142" s="18"/>
      <c r="H142" s="274"/>
      <c r="I142" s="18"/>
      <c r="J142" s="54"/>
      <c r="K142" s="18"/>
      <c r="L142" s="18"/>
    </row>
    <row r="143" spans="1:12" s="367" customFormat="1">
      <c r="A143" s="50"/>
      <c r="B143" s="18"/>
      <c r="C143" s="18"/>
      <c r="D143" s="18"/>
      <c r="E143" s="18"/>
      <c r="F143" s="18"/>
      <c r="G143" s="18"/>
      <c r="H143" s="274"/>
      <c r="I143" s="18"/>
      <c r="J143" s="54"/>
      <c r="K143" s="18"/>
      <c r="L143" s="18"/>
    </row>
    <row r="144" spans="1:12" s="367" customFormat="1">
      <c r="A144" s="50"/>
      <c r="B144" s="18"/>
      <c r="C144" s="18"/>
      <c r="D144" s="18"/>
      <c r="E144" s="18"/>
      <c r="F144" s="18"/>
      <c r="G144" s="18"/>
      <c r="H144" s="274"/>
      <c r="I144" s="18"/>
      <c r="J144" s="54"/>
      <c r="K144" s="18"/>
      <c r="L144" s="18"/>
    </row>
    <row r="145" spans="1:12" s="367" customFormat="1">
      <c r="A145" s="50"/>
      <c r="B145" s="18"/>
      <c r="C145" s="18"/>
      <c r="D145" s="18"/>
      <c r="E145" s="18"/>
      <c r="F145" s="18"/>
      <c r="G145" s="18"/>
      <c r="H145" s="274"/>
      <c r="I145" s="18"/>
      <c r="J145" s="54"/>
      <c r="K145" s="18"/>
      <c r="L145" s="18"/>
    </row>
    <row r="146" spans="1:12" s="367" customFormat="1">
      <c r="A146" s="50"/>
      <c r="B146" s="18"/>
      <c r="C146" s="18"/>
      <c r="D146" s="18"/>
      <c r="E146" s="18"/>
      <c r="F146" s="18"/>
      <c r="G146" s="18"/>
      <c r="H146" s="274"/>
      <c r="I146" s="18"/>
      <c r="J146" s="54"/>
      <c r="K146" s="18"/>
      <c r="L146" s="18"/>
    </row>
    <row r="147" spans="1:12" s="367" customFormat="1">
      <c r="A147" s="50"/>
      <c r="B147" s="18"/>
      <c r="C147" s="18"/>
      <c r="D147" s="18"/>
      <c r="E147" s="18"/>
      <c r="F147" s="18"/>
      <c r="G147" s="18"/>
      <c r="H147" s="274"/>
      <c r="I147" s="18"/>
      <c r="J147" s="54"/>
      <c r="K147" s="18"/>
      <c r="L147" s="18"/>
    </row>
    <row r="148" spans="1:12" s="367" customFormat="1">
      <c r="A148" s="50"/>
      <c r="B148" s="18"/>
      <c r="C148" s="18"/>
      <c r="D148" s="18"/>
      <c r="E148" s="18"/>
      <c r="F148" s="18"/>
      <c r="G148" s="18"/>
      <c r="H148" s="274"/>
      <c r="I148" s="18"/>
      <c r="J148" s="54"/>
      <c r="K148" s="18"/>
      <c r="L148" s="18"/>
    </row>
    <row r="149" spans="1:12" s="367" customFormat="1">
      <c r="A149" s="50"/>
      <c r="B149" s="18"/>
      <c r="C149" s="18"/>
      <c r="D149" s="18"/>
      <c r="E149" s="18"/>
      <c r="F149" s="18"/>
      <c r="G149" s="18"/>
      <c r="H149" s="274"/>
      <c r="I149" s="18"/>
      <c r="J149" s="54"/>
      <c r="K149" s="18"/>
      <c r="L149" s="18"/>
    </row>
    <row r="150" spans="1:12" s="367" customFormat="1">
      <c r="A150" s="50"/>
      <c r="B150" s="18"/>
      <c r="C150" s="18"/>
      <c r="D150" s="18"/>
      <c r="E150" s="18"/>
      <c r="F150" s="18"/>
      <c r="G150" s="18"/>
      <c r="H150" s="274"/>
      <c r="I150" s="18"/>
      <c r="J150" s="54"/>
      <c r="K150" s="18"/>
      <c r="L150" s="18"/>
    </row>
    <row r="151" spans="1:12" s="367" customFormat="1">
      <c r="A151" s="50"/>
      <c r="B151" s="18"/>
      <c r="C151" s="18"/>
      <c r="D151" s="18"/>
      <c r="E151" s="18"/>
      <c r="F151" s="18"/>
      <c r="G151" s="18"/>
      <c r="H151" s="274"/>
      <c r="I151" s="18"/>
      <c r="J151" s="54"/>
      <c r="K151" s="18"/>
      <c r="L151" s="18"/>
    </row>
    <row r="167" spans="2:25" s="40" customFormat="1" ht="36.6" customHeight="1">
      <c r="B167" s="42"/>
      <c r="C167" s="18"/>
      <c r="D167" s="60"/>
      <c r="E167" s="60"/>
      <c r="F167" s="60"/>
      <c r="G167" s="60"/>
      <c r="H167" s="279"/>
      <c r="I167" s="60"/>
      <c r="J167" s="224"/>
      <c r="K167" s="60"/>
      <c r="L167" s="60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</row>
    <row r="174" spans="2:25" s="40" customFormat="1" ht="42.6" customHeight="1">
      <c r="B174" s="42"/>
      <c r="C174" s="18"/>
      <c r="D174" s="60"/>
      <c r="E174" s="60"/>
      <c r="F174" s="60"/>
      <c r="G174" s="60"/>
      <c r="H174" s="279"/>
      <c r="I174" s="60"/>
      <c r="J174" s="224"/>
      <c r="K174" s="60"/>
      <c r="L174" s="60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</row>
    <row r="181" spans="2:25" s="40" customFormat="1" ht="39.6" customHeight="1">
      <c r="B181" s="42"/>
      <c r="C181" s="18"/>
      <c r="D181" s="60"/>
      <c r="E181" s="60"/>
      <c r="F181" s="60"/>
      <c r="G181" s="60"/>
      <c r="H181" s="279"/>
      <c r="I181" s="60"/>
      <c r="J181" s="224"/>
      <c r="K181" s="60"/>
      <c r="L181" s="60"/>
      <c r="M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</row>
    <row r="472" spans="1:25" s="18" customFormat="1">
      <c r="A472" s="40"/>
      <c r="B472" s="42" t="s">
        <v>157</v>
      </c>
      <c r="D472" s="60"/>
      <c r="E472" s="60"/>
      <c r="F472" s="60"/>
      <c r="G472" s="60"/>
      <c r="H472" s="279"/>
      <c r="I472" s="60"/>
      <c r="J472" s="224"/>
      <c r="K472" s="60"/>
      <c r="L472" s="60"/>
      <c r="M472" s="367"/>
      <c r="N472" s="367"/>
      <c r="O472" s="367"/>
      <c r="P472" s="367"/>
      <c r="Q472" s="367"/>
      <c r="R472" s="367"/>
      <c r="S472" s="367"/>
      <c r="T472" s="367"/>
      <c r="U472" s="367"/>
      <c r="V472" s="367"/>
      <c r="W472" s="367"/>
      <c r="X472" s="367"/>
      <c r="Y472" s="367"/>
    </row>
  </sheetData>
  <autoFilter ref="A8:L57"/>
  <mergeCells count="10">
    <mergeCell ref="L6:L7"/>
    <mergeCell ref="A2:L2"/>
    <mergeCell ref="A4:L4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18110236220472" right="0.118110236220472" top="0.31299212599999998" bottom="0.24803149599999999" header="0.66929133858267698" footer="0.3149606299212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თ.ფ-1</vt:lpstr>
      <vt:lpstr>თ.ფ-1 (2)</vt:lpstr>
      <vt:lpstr>გბ</vt:lpstr>
      <vt:lpstr>კრებს-4</vt:lpstr>
      <vt:lpstr>4-1-სამ -ლიუბლიანა</vt:lpstr>
      <vt:lpstr>4-2-წკ </vt:lpstr>
      <vt:lpstr>4-3-გარე ქსელები </vt:lpstr>
      <vt:lpstr>4-4 ელ </vt:lpstr>
      <vt:lpstr>4-5-ვკ </vt:lpstr>
      <vt:lpstr>4-6-ეზო -ლიუბლიანა </vt:lpstr>
      <vt:lpstr>'4-1-სამ -ლიუბლიანა'!Print_Area</vt:lpstr>
      <vt:lpstr>'4-2-წკ '!Print_Area</vt:lpstr>
      <vt:lpstr>'4-3-გარე ქსელები '!Print_Area</vt:lpstr>
      <vt:lpstr>'4-5-ვკ '!Print_Area</vt:lpstr>
      <vt:lpstr>'4-6-ეზო -ლიუბლიანა '!Print_Area</vt:lpstr>
      <vt:lpstr>გბ!Print_Area</vt:lpstr>
      <vt:lpstr>'კრებს-4'!Print_Area</vt:lpstr>
      <vt:lpstr>'4-1-სამ -ლიუბლიანა'!Print_Titles</vt:lpstr>
      <vt:lpstr>'4-2-წკ '!Print_Titles</vt:lpstr>
      <vt:lpstr>'4-3-გარე ქსელები '!Print_Titles</vt:lpstr>
      <vt:lpstr>'4-5-ვკ '!Print_Titles</vt:lpstr>
      <vt:lpstr>'4-6-ეზო -ლიუბლიანა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Customer</cp:lastModifiedBy>
  <cp:lastPrinted>2021-07-24T07:31:31Z</cp:lastPrinted>
  <dcterms:created xsi:type="dcterms:W3CDTF">2016-12-11T22:18:00Z</dcterms:created>
  <dcterms:modified xsi:type="dcterms:W3CDTF">2021-08-13T16:49:20Z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